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tiff" ContentType="image/tif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300" tabRatio="500" firstSheet="2" activeTab="2"/>
  </bookViews>
  <sheets>
    <sheet name="Cover" sheetId="16" r:id="rId1"/>
    <sheet name="Intro" sheetId="14" r:id="rId2"/>
    <sheet name="Credit Sheet" sheetId="11" r:id="rId3"/>
    <sheet name="Climate Zone Map" sheetId="13" r:id="rId4"/>
    <sheet name="Lists" sheetId="12" state="hidden" r:id="rId5"/>
  </sheets>
  <definedNames/>
  <calcPr calcId="171026"/>
  <extLst/>
</workbook>
</file>

<file path=xl/sharedStrings.xml><?xml version="1.0" encoding="utf-8"?>
<sst xmlns="http://schemas.openxmlformats.org/spreadsheetml/2006/main" count="474" uniqueCount="128">
  <si>
    <t>Step 1:  Enter Tree Type and Site Data</t>
  </si>
  <si>
    <t>1.Precipitation Station (pull-down menu)</t>
  </si>
  <si>
    <t>2.Region (from Cell 1)</t>
  </si>
  <si>
    <t>3. Surface (pull-down menu)</t>
  </si>
  <si>
    <t>4. Tree Selection</t>
  </si>
  <si>
    <t>Tree Type</t>
  </si>
  <si>
    <t>Tree Size</t>
  </si>
  <si>
    <t xml:space="preserve">Step 2:  Calculate Unit Runoff Reduction </t>
  </si>
  <si>
    <t>5.Unit Reduction (cf/inch rainfall/inch DBH) (based on cells 2-4)</t>
  </si>
  <si>
    <t>Step 3: Identify the Representative Storm  for this location</t>
  </si>
  <si>
    <t>6. Representative Storm (inches)</t>
  </si>
  <si>
    <t>Step 4: Enter the tree DBH, number of trees,  canopy area and DBH</t>
  </si>
  <si>
    <t>7. Number of Trees Planted</t>
  </si>
  <si>
    <t>Typical DBH (inches) for Guidance)</t>
  </si>
  <si>
    <t>8. DBH (inches)</t>
  </si>
  <si>
    <t>Tree Canopy Area (sf) (Suggested)</t>
  </si>
  <si>
    <t>9. Tree Canopy Area (sf) (Entered)</t>
  </si>
  <si>
    <t>Step 5: Calculate the Runoff Reductiion Volume for the Repesentative Storm, and calculate a revised curve number for the treed area.</t>
  </si>
  <si>
    <t>10.  Runoff Reduction for the Representative Storm (cf)</t>
  </si>
  <si>
    <t>11. Base CN</t>
  </si>
  <si>
    <t>12.  "Base" Runoff in the Area Beneath the Tree Canopy (cf)</t>
  </si>
  <si>
    <t>13.  Runoff for the Representative Storm (cf)</t>
  </si>
  <si>
    <t>14.  Runoff In Inches</t>
  </si>
  <si>
    <t>Ia  (inches)</t>
  </si>
  <si>
    <t>15.  Adjusted Curve Number</t>
  </si>
  <si>
    <t>Step 6:  Calculate  "Non-Tree" Runoff Volumes at the site and canopy scales for the Design Storm</t>
  </si>
  <si>
    <t>90th Percentile Storm Event (for Guidance)</t>
  </si>
  <si>
    <t>16. Design Storm (inches)</t>
  </si>
  <si>
    <t>17.   Runoff from the Area Below the Tree Canopy (cf)</t>
  </si>
  <si>
    <t>Land Cover Type (Site Area)</t>
  </si>
  <si>
    <t>18a-e. Site Areas  (sf)</t>
  </si>
  <si>
    <t xml:space="preserve">19. Site Curve Number </t>
  </si>
  <si>
    <t>20. Site Level Runoff Without Trees (cf)</t>
  </si>
  <si>
    <t>Grass - HSG A</t>
  </si>
  <si>
    <t>Grass - HSG B</t>
  </si>
  <si>
    <t>Grass - HSG C</t>
  </si>
  <si>
    <t>Grass - HSG D</t>
  </si>
  <si>
    <t>Impervious Cover</t>
  </si>
  <si>
    <t>Total</t>
  </si>
  <si>
    <t>Step 7: Calculate the runoff reduction volume for the design storm</t>
  </si>
  <si>
    <t>21. Runoff Volume for the Design Storm with Trees (cf)</t>
  </si>
  <si>
    <t>22. Runoff Reduction Volume (cf)</t>
  </si>
  <si>
    <t>Step 8: Calculate the TN, TP and TSS reductions in urban runoff for the Design Storm (Cells 24a-c calculated from cell 22 and corresponding cells in 23a-c)</t>
  </si>
  <si>
    <t>23a.TN Concentration (mg/L)</t>
  </si>
  <si>
    <t>23b.TP Concentration (mg/L)</t>
  </si>
  <si>
    <t>23c.TSS Concentration (mg/L)</t>
  </si>
  <si>
    <t>24a.TN Load Reduction (lbs)</t>
  </si>
  <si>
    <t>24b. TP Load Reduction (lbs)</t>
  </si>
  <si>
    <t>24c.TSS Load Reduction (lbs)</t>
  </si>
  <si>
    <t>Step 9:  Represent as Percentages</t>
  </si>
  <si>
    <t>% Reductions</t>
  </si>
  <si>
    <t>25. Canopy Scale</t>
  </si>
  <si>
    <t>26. Site Scale</t>
  </si>
  <si>
    <t>Normalized Runoff Reduction (cu. ft./inch [dbh]/inch of annual rainfall)</t>
  </si>
  <si>
    <t xml:space="preserve"> </t>
  </si>
  <si>
    <t>Cities</t>
  </si>
  <si>
    <t>Region</t>
  </si>
  <si>
    <t>Annual Precipitation</t>
  </si>
  <si>
    <t>Surface</t>
  </si>
  <si>
    <t>CNHumid</t>
  </si>
  <si>
    <t>CNArid</t>
  </si>
  <si>
    <t>StormLU</t>
  </si>
  <si>
    <t>City</t>
  </si>
  <si>
    <t>TreeType</t>
  </si>
  <si>
    <t>Crown Area (sf)</t>
  </si>
  <si>
    <t>DBH</t>
  </si>
  <si>
    <t>HSG-A</t>
  </si>
  <si>
    <t>HSG-B</t>
  </si>
  <si>
    <t>HSG-C</t>
  </si>
  <si>
    <t>HSG-D</t>
  </si>
  <si>
    <t>Imp</t>
  </si>
  <si>
    <t>Tree Acronym</t>
  </si>
  <si>
    <t>Albuquerque, NM</t>
  </si>
  <si>
    <t>Southwest interior</t>
  </si>
  <si>
    <t>BDL</t>
  </si>
  <si>
    <t>Broadleaf Deciduous</t>
  </si>
  <si>
    <t>Large</t>
  </si>
  <si>
    <t>Baton Rouge, LA</t>
  </si>
  <si>
    <t>Coastal Plain</t>
  </si>
  <si>
    <t>BDM</t>
  </si>
  <si>
    <t>Medium</t>
  </si>
  <si>
    <t>Bismark, ND</t>
  </si>
  <si>
    <t>North</t>
  </si>
  <si>
    <t>BDS</t>
  </si>
  <si>
    <t>Small</t>
  </si>
  <si>
    <t>Boise, ID</t>
  </si>
  <si>
    <t>Interior West</t>
  </si>
  <si>
    <t>CEL</t>
  </si>
  <si>
    <t>Coniferous Evegreen</t>
  </si>
  <si>
    <t>Charleston, SC</t>
  </si>
  <si>
    <t>Impervious</t>
  </si>
  <si>
    <t>CES</t>
  </si>
  <si>
    <t>Chattanooga, TN</t>
  </si>
  <si>
    <t>South</t>
  </si>
  <si>
    <t>Cheyenne, WY</t>
  </si>
  <si>
    <t>California Coast and Interior</t>
  </si>
  <si>
    <t>Cincinatti, OH</t>
  </si>
  <si>
    <t>Lower Midwest</t>
  </si>
  <si>
    <t>Corpus Christi, TX</t>
  </si>
  <si>
    <t>Dallas, TX</t>
  </si>
  <si>
    <t>Des Moines, IA</t>
  </si>
  <si>
    <t>Midwest</t>
  </si>
  <si>
    <t>Eugene, OR</t>
  </si>
  <si>
    <t>Pacific Northwest</t>
  </si>
  <si>
    <t>Flagstaff, AZ</t>
  </si>
  <si>
    <t>Northeast</t>
  </si>
  <si>
    <t>Honolulu, HI</t>
  </si>
  <si>
    <t>Tropical</t>
  </si>
  <si>
    <t>Lansing, MI</t>
  </si>
  <si>
    <t>Los Angeles, CA</t>
  </si>
  <si>
    <t>Southwest Interior</t>
  </si>
  <si>
    <t>Lubbox, TX</t>
  </si>
  <si>
    <t>Miami, FL</t>
  </si>
  <si>
    <t>Minneapolis, MN</t>
  </si>
  <si>
    <t>Missoula, MT</t>
  </si>
  <si>
    <t>Pittsburgh, PA</t>
  </si>
  <si>
    <t>Portland, ME</t>
  </si>
  <si>
    <t>Reno, NV</t>
  </si>
  <si>
    <t>Salt Lake City, UT</t>
  </si>
  <si>
    <t>San Francisco, CA</t>
  </si>
  <si>
    <t>Seattle, WA</t>
  </si>
  <si>
    <t>St. Louis, MO</t>
  </si>
  <si>
    <t>Syracuse, NY</t>
  </si>
  <si>
    <t>Tampa, FL</t>
  </si>
  <si>
    <t>Washington, DC</t>
  </si>
  <si>
    <t>Wichita, KS</t>
  </si>
  <si>
    <t>Lubbock, TX</t>
  </si>
  <si>
    <t>St Louis, MO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</si>
</sst>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0"/>
  </numFmts>
  <fonts count="16">
    <font>
      <sz val="12"/>
      <color theme="1"/>
      <name val="Calibri"/>
      <family val="2"/>
      <scheme val="minor"/>
    </font>
    <font>
      <sz val="10"/>
      <name val="Arial"/>
      <family val="2"/>
    </font>
    <font>
      <sz val="11"/>
      <color theme="1"/>
      <name val="Calibri"/>
      <family val="2"/>
      <scheme val="minor"/>
    </font>
    <font>
      <sz val="10"/>
      <color rgb="FF0070C0"/>
      <name val="Calibri"/>
      <family val="2"/>
      <scheme val="minor"/>
    </font>
    <font>
      <b/>
      <sz val="11"/>
      <color theme="1"/>
      <name val="Calibri"/>
      <family val="2"/>
      <scheme val="minor"/>
    </font>
    <font>
      <sz val="11"/>
      <color rgb="FF5B9BD5"/>
      <name val="Calibri"/>
      <family val="2"/>
      <scheme val="minor"/>
    </font>
    <font>
      <sz val="20"/>
      <color theme="1"/>
      <name val="Calibri"/>
      <family val="2"/>
    </font>
    <font>
      <sz val="14"/>
      <color theme="1"/>
      <name val="Calibri"/>
      <family val="2"/>
    </font>
    <font>
      <u val="single"/>
      <sz val="14"/>
      <color theme="1"/>
      <name val="Calibri"/>
      <family val="2"/>
    </font>
    <font>
      <sz val="14"/>
      <color theme="1"/>
      <name val="+mn-cs"/>
      <family val="2"/>
    </font>
    <font>
      <i/>
      <sz val="14"/>
      <color theme="1"/>
      <name val="Calibri"/>
      <family val="2"/>
    </font>
    <font>
      <i/>
      <sz val="14"/>
      <color theme="1"/>
      <name val="+mn-cs"/>
      <family val="2"/>
    </font>
    <font>
      <sz val="11"/>
      <color theme="1"/>
      <name val="+mn-cs"/>
      <family val="2"/>
    </font>
    <font>
      <sz val="11"/>
      <color theme="1"/>
      <name val="Calibri"/>
      <family val="2"/>
    </font>
    <font>
      <b/>
      <sz val="20"/>
      <color theme="1"/>
      <name val="+mn-cs"/>
      <family val="2"/>
    </font>
    <font>
      <i/>
      <sz val="11"/>
      <color theme="1"/>
      <name val="+mn-cs"/>
      <family val="2"/>
    </font>
  </fonts>
  <fills count="10">
    <fill>
      <patternFill/>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7" tint="0.5999600291252136"/>
        <bgColor indexed="64"/>
      </patternFill>
    </fill>
    <fill>
      <patternFill patternType="darkGray"/>
    </fill>
    <fill>
      <patternFill patternType="solid">
        <fgColor theme="4" tint="0.5999900102615356"/>
        <bgColor indexed="64"/>
      </patternFill>
    </fill>
    <fill>
      <patternFill patternType="solid">
        <fgColor theme="4" tint="0.7999799847602844"/>
        <bgColor indexed="64"/>
      </patternFill>
    </fill>
    <fill>
      <patternFill patternType="solid">
        <fgColor theme="0" tint="-0.1499900072813034"/>
        <bgColor indexed="64"/>
      </patternFill>
    </fill>
  </fills>
  <borders count="39">
    <border>
      <left/>
      <right/>
      <top/>
      <bottom/>
      <diagonal/>
    </border>
    <border>
      <left style="medium"/>
      <right style="thin"/>
      <top style="thin"/>
      <bottom style="thin"/>
    </border>
    <border>
      <left style="medium"/>
      <right style="thin"/>
      <top style="thin"/>
      <bottom style="thick"/>
    </border>
    <border>
      <left style="thin"/>
      <right style="thin"/>
      <top style="thick"/>
      <bottom style="thin"/>
    </border>
    <border>
      <left style="thin"/>
      <right style="thick"/>
      <top style="thick"/>
      <bottom style="thin"/>
    </border>
    <border>
      <left style="thin"/>
      <right style="thin"/>
      <top style="thin"/>
      <bottom style="thick"/>
    </border>
    <border>
      <left style="thin"/>
      <right/>
      <top/>
      <bottom/>
    </border>
    <border>
      <left style="thin"/>
      <right style="thick"/>
      <top style="thin"/>
      <bottom style="thick"/>
    </border>
    <border>
      <left style="thin"/>
      <right style="thin"/>
      <top style="thin"/>
      <bottom style="thin"/>
    </border>
    <border>
      <left style="thin"/>
      <right style="thick"/>
      <top style="thin"/>
      <bottom style="thin"/>
    </border>
    <border>
      <left/>
      <right/>
      <top style="thick"/>
      <bottom/>
    </border>
    <border>
      <left style="medium"/>
      <right style="thin"/>
      <top style="medium"/>
      <bottom style="thin"/>
    </border>
    <border>
      <left style="thin"/>
      <right style="thin"/>
      <top style="medium"/>
      <bottom style="thin"/>
    </border>
    <border>
      <left style="thin"/>
      <right style="thick"/>
      <top style="medium"/>
      <bottom style="thin"/>
    </border>
    <border>
      <left style="thin"/>
      <right/>
      <top style="thin"/>
      <bottom/>
    </border>
    <border>
      <left/>
      <right style="thick"/>
      <top style="thin"/>
      <bottom/>
    </border>
    <border>
      <left/>
      <right style="thick"/>
      <top/>
      <bottom/>
    </border>
    <border>
      <left style="thin"/>
      <right/>
      <top/>
      <bottom style="thick"/>
    </border>
    <border>
      <left/>
      <right style="thick"/>
      <top/>
      <bottom style="thick"/>
    </border>
    <border>
      <left style="medium"/>
      <right style="thin"/>
      <top style="thick"/>
      <bottom/>
    </border>
    <border>
      <left style="thin"/>
      <right style="thin"/>
      <top style="thin"/>
      <bottom/>
    </border>
    <border>
      <left style="thin"/>
      <right/>
      <top style="thin"/>
      <bottom style="thick"/>
    </border>
    <border>
      <left style="thin"/>
      <right/>
      <top style="thick"/>
      <bottom style="thin"/>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right style="thin"/>
      <top style="thick"/>
      <bottom style="thin"/>
    </border>
    <border>
      <left style="thin"/>
      <right style="thick"/>
      <top style="thick"/>
      <bottom/>
    </border>
    <border>
      <left style="thin"/>
      <right style="thick"/>
      <top/>
      <bottom style="thin"/>
    </border>
    <border>
      <left style="thick"/>
      <right style="thin"/>
      <top style="thick"/>
      <bottom style="thin"/>
    </border>
    <border>
      <left style="thick"/>
      <right style="thin"/>
      <top style="thin"/>
      <bottom style="thick"/>
    </border>
    <border>
      <left style="thick"/>
      <right/>
      <top style="thick"/>
      <bottom style="thin"/>
    </border>
    <border>
      <left style="thick"/>
      <right/>
      <top style="thin"/>
      <bottom style="thick"/>
    </border>
    <border>
      <left style="thick"/>
      <right style="thin"/>
      <top style="thick"/>
      <bottom/>
    </border>
    <border>
      <left style="thick"/>
      <right style="thin"/>
      <top/>
      <bottom/>
    </border>
    <border>
      <left style="thick"/>
      <right style="thin"/>
      <top/>
      <bottom style="thick"/>
    </border>
    <border>
      <left style="thick"/>
      <right style="medium"/>
      <top style="thick"/>
      <bottom/>
    </border>
    <border>
      <left style="thick"/>
      <right style="medium"/>
      <top/>
      <bottom/>
    </border>
    <border>
      <left style="thick"/>
      <right style="medium"/>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87">
    <xf numFmtId="0" fontId="0" fillId="0" borderId="0" xfId="0"/>
    <xf numFmtId="0" fontId="4" fillId="0" borderId="0" xfId="0" applyFont="1"/>
    <xf numFmtId="0" fontId="5" fillId="0" borderId="0" xfId="0" applyFont="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5" xfId="0" applyFill="1" applyBorder="1" applyAlignment="1">
      <alignment horizontal="center" vertical="center" wrapText="1"/>
    </xf>
    <xf numFmtId="0" fontId="0" fillId="0" borderId="0" xfId="0" applyAlignment="1">
      <alignment horizontal="center" vertical="center" wrapText="1"/>
    </xf>
    <xf numFmtId="0" fontId="3" fillId="0" borderId="6" xfId="0" applyFont="1" applyBorder="1" applyAlignment="1">
      <alignment horizontal="center" vertical="center" wrapText="1"/>
    </xf>
    <xf numFmtId="165" fontId="0" fillId="3" borderId="7" xfId="0" applyNumberFormat="1" applyFill="1" applyBorder="1" applyAlignment="1">
      <alignment horizontal="center" vertical="center" wrapText="1"/>
    </xf>
    <xf numFmtId="0" fontId="3" fillId="0" borderId="0" xfId="0" applyFont="1" applyBorder="1" applyAlignment="1">
      <alignment horizontal="center" vertical="center" wrapText="1"/>
    </xf>
    <xf numFmtId="164" fontId="0" fillId="3" borderId="7" xfId="0" applyNumberFormat="1" applyFill="1" applyBorder="1" applyAlignment="1">
      <alignment horizontal="center" vertical="center" wrapText="1"/>
    </xf>
    <xf numFmtId="0" fontId="0" fillId="0" borderId="8" xfId="0" applyBorder="1" applyAlignment="1">
      <alignment horizontal="center" vertical="center" wrapText="1"/>
    </xf>
    <xf numFmtId="165" fontId="0" fillId="3" borderId="5" xfId="0" applyNumberFormat="1" applyFill="1" applyBorder="1" applyAlignment="1">
      <alignment horizontal="center" vertical="center" wrapText="1"/>
    </xf>
    <xf numFmtId="0" fontId="0" fillId="0" borderId="9" xfId="0" applyBorder="1" applyAlignment="1">
      <alignment horizontal="center" vertical="center" wrapText="1"/>
    </xf>
    <xf numFmtId="9" fontId="0" fillId="0" borderId="0" xfId="15" applyFont="1" applyAlignment="1">
      <alignment horizontal="center" vertical="center" wrapText="1"/>
    </xf>
    <xf numFmtId="0" fontId="0" fillId="0" borderId="4" xfId="0" applyFill="1" applyBorder="1" applyAlignment="1">
      <alignment horizontal="center" vertical="center" wrapText="1"/>
    </xf>
    <xf numFmtId="0" fontId="0" fillId="0" borderId="2" xfId="0" applyBorder="1" applyAlignment="1">
      <alignment horizontal="center" vertical="center" wrapText="1"/>
    </xf>
    <xf numFmtId="10" fontId="0" fillId="3" borderId="9" xfId="15" applyNumberFormat="1" applyFont="1" applyFill="1" applyBorder="1" applyAlignment="1">
      <alignment horizontal="center" vertical="center" wrapText="1"/>
    </xf>
    <xf numFmtId="10" fontId="0" fillId="3" borderId="7" xfId="15" applyNumberFormat="1" applyFont="1" applyFill="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2" fontId="0" fillId="3" borderId="9" xfId="18" applyNumberFormat="1" applyFont="1" applyFill="1" applyBorder="1" applyAlignment="1">
      <alignment horizontal="center" vertical="center" wrapText="1"/>
    </xf>
    <xf numFmtId="2" fontId="0" fillId="3" borderId="5" xfId="0" applyNumberFormat="1" applyFill="1" applyBorder="1" applyAlignment="1">
      <alignment horizontal="center" vertical="center" wrapText="1"/>
    </xf>
    <xf numFmtId="2" fontId="0" fillId="0" borderId="3" xfId="0" applyNumberFormat="1" applyBorder="1" applyAlignment="1">
      <alignment horizontal="center" vertical="center" wrapText="1"/>
    </xf>
    <xf numFmtId="0" fontId="0" fillId="4" borderId="5"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6" borderId="14" xfId="0" applyFill="1" applyBorder="1" applyAlignment="1">
      <alignment horizontal="center" vertical="center" wrapText="1"/>
    </xf>
    <xf numFmtId="2" fontId="0" fillId="6" borderId="15" xfId="18" applyNumberFormat="1" applyFont="1" applyFill="1" applyBorder="1" applyAlignment="1">
      <alignment horizontal="center" vertical="center" wrapText="1"/>
    </xf>
    <xf numFmtId="0" fontId="0" fillId="6" borderId="6" xfId="0" applyFill="1" applyBorder="1" applyAlignment="1">
      <alignment horizontal="center" vertical="center" wrapText="1"/>
    </xf>
    <xf numFmtId="2" fontId="0" fillId="6" borderId="16" xfId="18" applyNumberFormat="1" applyFont="1" applyFill="1" applyBorder="1" applyAlignment="1">
      <alignment horizontal="center" vertical="center" wrapText="1"/>
    </xf>
    <xf numFmtId="0" fontId="0" fillId="6" borderId="17" xfId="0" applyFill="1" applyBorder="1" applyAlignment="1">
      <alignment horizontal="center" vertical="center" wrapText="1"/>
    </xf>
    <xf numFmtId="2" fontId="0" fillId="6" borderId="18" xfId="18" applyNumberFormat="1" applyFont="1" applyFill="1" applyBorder="1" applyAlignment="1">
      <alignment horizontal="center" vertical="center" wrapText="1"/>
    </xf>
    <xf numFmtId="1" fontId="0" fillId="0" borderId="0" xfId="0" applyNumberFormat="1" applyAlignment="1">
      <alignment horizontal="center"/>
    </xf>
    <xf numFmtId="9" fontId="0" fillId="0" borderId="0" xfId="0" applyNumberFormat="1"/>
    <xf numFmtId="2" fontId="0" fillId="0" borderId="4" xfId="0" applyNumberFormat="1" applyBorder="1" applyAlignment="1">
      <alignment horizontal="center" vertical="center" wrapText="1"/>
    </xf>
    <xf numFmtId="164" fontId="0" fillId="3" borderId="2" xfId="0" applyNumberFormat="1" applyFill="1" applyBorder="1" applyAlignment="1">
      <alignment horizontal="center" vertical="center" wrapText="1"/>
    </xf>
    <xf numFmtId="0" fontId="0" fillId="0" borderId="19" xfId="0" applyBorder="1" applyAlignment="1">
      <alignment horizontal="center" vertical="center" wrapText="1"/>
    </xf>
    <xf numFmtId="2" fontId="0" fillId="3" borderId="20" xfId="0" applyNumberFormat="1" applyFill="1" applyBorder="1" applyAlignment="1">
      <alignment horizontal="center" vertical="center" wrapText="1"/>
    </xf>
    <xf numFmtId="2" fontId="0" fillId="5" borderId="8" xfId="0" applyNumberFormat="1" applyFill="1" applyBorder="1" applyAlignment="1">
      <alignment horizontal="center" vertical="center" wrapText="1"/>
    </xf>
    <xf numFmtId="2" fontId="0" fillId="3" borderId="7" xfId="0" applyNumberFormat="1" applyFill="1" applyBorder="1" applyAlignment="1">
      <alignment horizontal="center" vertical="center" wrapText="1"/>
    </xf>
    <xf numFmtId="165" fontId="0" fillId="3" borderId="21" xfId="0" applyNumberFormat="1" applyFill="1" applyBorder="1" applyAlignment="1">
      <alignment horizontal="center" vertical="center" wrapText="1"/>
    </xf>
    <xf numFmtId="2" fontId="0" fillId="4" borderId="5"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2" fontId="0" fillId="0" borderId="0" xfId="0" applyNumberFormat="1"/>
    <xf numFmtId="0" fontId="0" fillId="0" borderId="22" xfId="0" applyBorder="1" applyAlignment="1">
      <alignment horizontal="center" vertical="center" wrapText="1"/>
    </xf>
    <xf numFmtId="2" fontId="0" fillId="3" borderId="8" xfId="0" applyNumberFormat="1" applyFill="1" applyBorder="1" applyAlignment="1">
      <alignment horizontal="center" vertical="center" wrapText="1"/>
    </xf>
    <xf numFmtId="0" fontId="0" fillId="7" borderId="23" xfId="0" applyFont="1" applyFill="1" applyBorder="1"/>
    <xf numFmtId="0" fontId="0" fillId="7" borderId="24" xfId="0" applyFont="1" applyFill="1" applyBorder="1"/>
    <xf numFmtId="0" fontId="0" fillId="8" borderId="23" xfId="0" applyFont="1" applyFill="1" applyBorder="1"/>
    <xf numFmtId="0" fontId="0" fillId="8" borderId="24" xfId="0" applyFont="1" applyFill="1" applyBorder="1"/>
    <xf numFmtId="0" fontId="2" fillId="7" borderId="24" xfId="20" applyNumberFormat="1" applyFont="1" applyFill="1" applyBorder="1" applyAlignment="1">
      <alignment horizontal="center"/>
      <protection/>
    </xf>
    <xf numFmtId="0" fontId="2" fillId="8" borderId="24" xfId="20" applyNumberFormat="1" applyFont="1" applyFill="1" applyBorder="1" applyAlignment="1">
      <alignment horizontal="center"/>
      <protection/>
    </xf>
    <xf numFmtId="0" fontId="0" fillId="7" borderId="24" xfId="0" applyNumberFormat="1" applyFont="1" applyFill="1" applyBorder="1"/>
    <xf numFmtId="0" fontId="0" fillId="7" borderId="25" xfId="0" applyNumberFormat="1" applyFont="1" applyFill="1" applyBorder="1"/>
    <xf numFmtId="0" fontId="0" fillId="8" borderId="24" xfId="0" applyNumberFormat="1" applyFont="1" applyFill="1" applyBorder="1"/>
    <xf numFmtId="0" fontId="0" fillId="8" borderId="25" xfId="0" applyNumberFormat="1" applyFont="1" applyFill="1" applyBorder="1"/>
    <xf numFmtId="164" fontId="0" fillId="9" borderId="0" xfId="0" applyNumberFormat="1" applyFill="1" applyAlignment="1">
      <alignment horizontal="center"/>
    </xf>
    <xf numFmtId="164" fontId="0" fillId="9" borderId="24" xfId="0" applyNumberFormat="1" applyFont="1" applyFill="1" applyBorder="1" applyAlignment="1">
      <alignment horizontal="center"/>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 fontId="0" fillId="0" borderId="7" xfId="18" applyNumberFormat="1"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552450</xdr:colOff>
      <xdr:row>24</xdr:row>
      <xdr:rowOff>133350</xdr:rowOff>
    </xdr:to>
    <xdr:sp macro="" textlink="">
      <xdr:nvSpPr>
        <xdr:cNvPr id="2" name="TextBox 1"/>
        <xdr:cNvSpPr txBox="1"/>
      </xdr:nvSpPr>
      <xdr:spPr>
        <a:xfrm>
          <a:off x="123825" y="85725"/>
          <a:ext cx="8658225" cy="48482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2000" b="1">
              <a:solidFill>
                <a:schemeClr val="dk1"/>
              </a:solidFill>
              <a:effectLst/>
              <a:latin typeface="+mn-lt"/>
              <a:ea typeface="+mn-ea"/>
              <a:cs typeface="+mn-cs"/>
            </a:rPr>
            <a:t>Making Urban Trees Count: A Project to Demonstrate the Role of Urban Trees in Achieving Regulatory Compliance for Clean Water</a:t>
          </a:r>
          <a:endParaRPr lang="en-US" sz="2000">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Center for Watershed Protection</a:t>
          </a:r>
          <a:endParaRPr lang="en-US">
            <a:effectLst/>
          </a:endParaRPr>
        </a:p>
        <a:p>
          <a:r>
            <a:rPr lang="en-US" sz="1100">
              <a:solidFill>
                <a:schemeClr val="dk1"/>
              </a:solidFill>
              <a:effectLst/>
              <a:latin typeface="+mn-lt"/>
              <a:ea typeface="+mn-ea"/>
              <a:cs typeface="+mn-cs"/>
            </a:rPr>
            <a:t>December 2017</a:t>
          </a:r>
          <a:endParaRPr lang="en-US">
            <a:effectLst/>
          </a:endParaRPr>
        </a:p>
        <a:p>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Copyright © 2017 Center for Watershed Protection, Inc. </a:t>
          </a:r>
          <a:endParaRPr lang="en-US">
            <a:effectLst/>
          </a:endParaRPr>
        </a:p>
        <a:p>
          <a:r>
            <a:rPr lang="en-US" sz="1100">
              <a:solidFill>
                <a:schemeClr val="dk1"/>
              </a:solidFill>
              <a:effectLst/>
              <a:latin typeface="+mn-lt"/>
              <a:ea typeface="+mn-ea"/>
              <a:cs typeface="+mn-cs"/>
            </a:rPr>
            <a:t>Material may be quoted provided credit is given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project was made possible through a National Urban and Community Forestry Advisory Council grant from the USDA Forest Service </a:t>
          </a:r>
          <a:endParaRPr lang="en-US">
            <a:effectLst/>
          </a:endParaRPr>
        </a:p>
        <a:p>
          <a:r>
            <a:rPr lang="en-US" sz="1100">
              <a:solidFill>
                <a:schemeClr val="dk1"/>
              </a:solidFill>
              <a:effectLst/>
              <a:latin typeface="+mn-lt"/>
              <a:ea typeface="+mn-ea"/>
              <a:cs typeface="+mn-cs"/>
            </a:rPr>
            <a:t>USDA is an equal opportunity provider, employer, and lender</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Suggested citation:</a:t>
          </a:r>
          <a:endParaRPr lang="en-US">
            <a:effectLst/>
          </a:endParaRPr>
        </a:p>
        <a:p>
          <a:pPr fontAlgn="base"/>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a:t>
          </a:r>
          <a:r>
            <a:rPr lang="en-US" sz="1100" i="1" baseline="0">
              <a:solidFill>
                <a:schemeClr val="dk1"/>
              </a:solidFill>
              <a:effectLst/>
              <a:latin typeface="+mn-lt"/>
              <a:ea typeface="+mn-ea"/>
              <a:cs typeface="+mn-cs"/>
            </a:rPr>
            <a:t> Performance-Based Credit Calculator</a:t>
          </a:r>
          <a:r>
            <a:rPr lang="en-US" sz="1100">
              <a:solidFill>
                <a:schemeClr val="dk1"/>
              </a:solidFill>
              <a:effectLst/>
              <a:latin typeface="+mn-lt"/>
              <a:ea typeface="+mn-ea"/>
              <a:cs typeface="+mn-cs"/>
            </a:rPr>
            <a:t>. Crediting Framework Product #6 for the project Making Urban Trees Count: A Project to Demonstrate the Role of Urban Trees in Achieving Regulatory Compliance for Clean Water. Center for Watershed Protection, Ellicott City, MD. </a:t>
          </a:r>
          <a:endParaRPr lang="en-US">
            <a:effectLst/>
          </a:endParaRPr>
        </a:p>
        <a:p>
          <a:endParaRPr lang="en-US" sz="1100"/>
        </a:p>
      </xdr:txBody>
    </xdr:sp>
    <xdr:clientData/>
  </xdr:twoCellAnchor>
  <xdr:twoCellAnchor editAs="oneCell">
    <xdr:from>
      <xdr:col>2</xdr:col>
      <xdr:colOff>200025</xdr:colOff>
      <xdr:row>6</xdr:row>
      <xdr:rowOff>133350</xdr:rowOff>
    </xdr:from>
    <xdr:to>
      <xdr:col>3</xdr:col>
      <xdr:colOff>219075</xdr:colOff>
      <xdr:row>10</xdr:row>
      <xdr:rowOff>114300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71625" y="1333500"/>
          <a:ext cx="704850" cy="781050"/>
        </a:xfrm>
        <a:prstGeom prst="rect">
          <a:avLst/>
        </a:prstGeom>
        <a:ln>
          <a:noFill/>
        </a:ln>
      </xdr:spPr>
    </xdr:pic>
    <xdr:clientData/>
  </xdr:twoCellAnchor>
  <xdr:twoCellAnchor editAs="oneCell">
    <xdr:from>
      <xdr:col>0</xdr:col>
      <xdr:colOff>200025</xdr:colOff>
      <xdr:row>6</xdr:row>
      <xdr:rowOff>171450</xdr:rowOff>
    </xdr:from>
    <xdr:to>
      <xdr:col>2</xdr:col>
      <xdr:colOff>38100</xdr:colOff>
      <xdr:row>9</xdr:row>
      <xdr:rowOff>152400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1371600"/>
          <a:ext cx="1209675" cy="581025"/>
        </a:xfrm>
        <a:prstGeom prst="rect">
          <a:avLst/>
        </a:prstGeom>
        <a:ln>
          <a:noFill/>
        </a:ln>
      </xdr:spPr>
    </xdr:pic>
    <xdr:clientData/>
  </xdr:twoCellAnchor>
  <xdr:twoCellAnchor>
    <xdr:from>
      <xdr:col>0</xdr:col>
      <xdr:colOff>114300</xdr:colOff>
      <xdr:row>11</xdr:row>
      <xdr:rowOff>28575</xdr:rowOff>
    </xdr:from>
    <xdr:to>
      <xdr:col>12</xdr:col>
      <xdr:colOff>542925</xdr:colOff>
      <xdr:row>14</xdr:row>
      <xdr:rowOff>19050</xdr:rowOff>
    </xdr:to>
    <xdr:sp macro="" textlink="">
      <xdr:nvSpPr>
        <xdr:cNvPr id="5" name="TextBox 4"/>
        <xdr:cNvSpPr txBox="1"/>
      </xdr:nvSpPr>
      <xdr:spPr>
        <a:xfrm>
          <a:off x="114300" y="2228850"/>
          <a:ext cx="8658225" cy="590550"/>
        </a:xfrm>
        <a:prstGeom prst="rect">
          <a:avLst/>
        </a:prstGeom>
        <a:solidFill>
          <a:srgbClr val="E2F0D9"/>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CREDITING FRAMEWORK PRODUCT</a:t>
          </a:r>
          <a:r>
            <a:rPr lang="en-US" sz="1100" baseline="0">
              <a:solidFill>
                <a:schemeClr val="dk1"/>
              </a:solidFill>
              <a:effectLst/>
              <a:latin typeface="+mn-lt"/>
              <a:ea typeface="+mn-ea"/>
              <a:cs typeface="+mn-cs"/>
            </a:rPr>
            <a:t> #6: Stormwater Performance-Based Credit Calculator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238125</xdr:colOff>
      <xdr:row>56</xdr:row>
      <xdr:rowOff>9525</xdr:rowOff>
    </xdr:to>
    <xdr:sp macro="" textlink="">
      <xdr:nvSpPr>
        <xdr:cNvPr id="2" name="TextBox 1"/>
        <xdr:cNvSpPr txBox="1"/>
      </xdr:nvSpPr>
      <xdr:spPr>
        <a:xfrm>
          <a:off x="0" y="0"/>
          <a:ext cx="9839325" cy="11210925"/>
        </a:xfrm>
        <a:prstGeom prst="rect">
          <a:avLst/>
        </a:prstGeom>
        <a:solidFill>
          <a:srgbClr val="DAE3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2000"/>
        </a:p>
        <a:p>
          <a:r>
            <a:rPr lang="en-US" sz="2000" baseline="0"/>
            <a:t>Stormwater Performance-Based Credit Calculator</a:t>
          </a:r>
          <a:endParaRPr lang="en-US" sz="20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lang="en-US" sz="1400"/>
            <a:t>Welcome to the</a:t>
          </a:r>
          <a:r>
            <a:rPr lang="en-US" sz="1400" baseline="0"/>
            <a:t> Stormwater Performance-Based Credit Calculator. This tool can be used to implement the Stormwater Performance-Based Credit for urban tree planting, developed by the Center for Watershed Protection with funding from the U.S. Forest Service's National Urban and Community Forestry Advisory Council grant program.  </a:t>
          </a:r>
        </a:p>
        <a:p>
          <a:endParaRPr lang="en-US" sz="1400" baseline="0"/>
        </a:p>
        <a:p>
          <a:r>
            <a:rPr lang="en-US" sz="1400" u="sng" baseline="0"/>
            <a:t>Background</a:t>
          </a:r>
          <a:endParaRPr lang="en-US" sz="1400" u="none" baseline="0"/>
        </a:p>
        <a:p>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Stormwater Performance-Based Credit</a:t>
          </a:r>
          <a:r>
            <a:rPr lang="en-US" sz="1400">
              <a:solidFill>
                <a:schemeClr val="dk1"/>
              </a:solidFill>
              <a:effectLst/>
              <a:latin typeface="+mn-lt"/>
              <a:ea typeface="+mn-ea"/>
              <a:cs typeface="+mn-cs"/>
            </a:rPr>
            <a:t> can be adopted by regulatory entities who wish to offer a scientifically defensible credit that encourages greater use of trees for meeting state (or local) stormwater management requirements. The credit quantifies an event-based reduction in runoff volume and nutrient and sediment loads associated with tree planting. It applies to trees planted in the urban environment, but does not apply to planted riparian buffers, large-scale reforestation projects or trees planted in engineered soils, such as bioretention or structural soils.  </a:t>
          </a:r>
        </a:p>
        <a:p>
          <a:r>
            <a:rPr lang="en-US" sz="1400">
              <a:solidFill>
                <a:schemeClr val="dk1"/>
              </a:solidFill>
              <a:effectLst/>
              <a:latin typeface="+mn-lt"/>
              <a:ea typeface="+mn-ea"/>
              <a:cs typeface="+mn-cs"/>
            </a:rPr>
            <a:t> </a:t>
          </a:r>
          <a:endParaRPr lang="en-US" sz="1400">
            <a:effectLst/>
          </a:endParaRPr>
        </a:p>
        <a:p>
          <a:r>
            <a:rPr lang="en-US" sz="1400">
              <a:solidFill>
                <a:schemeClr val="dk1"/>
              </a:solidFill>
              <a:effectLst/>
              <a:latin typeface="+mn-lt"/>
              <a:ea typeface="+mn-ea"/>
              <a:cs typeface="+mn-cs"/>
            </a:rPr>
            <a:t>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quantifies the runoff reduction benefit of tree planting for a specific storm event (e.g., design storm). It also provides an estimate of the associated nitrogen, phosphorus and sediment load reductions, which are useful where stormwater regulations also tie the design storm to removal of a particular pollutant. The </a:t>
          </a:r>
          <a:r>
            <a:rPr lang="en-US" sz="1400" baseline="0">
              <a:solidFill>
                <a:schemeClr val="dk1"/>
              </a:solidFill>
              <a:effectLst/>
              <a:latin typeface="+mn-lt"/>
              <a:ea typeface="+mn-ea"/>
              <a:cs typeface="+mn-cs"/>
            </a:rPr>
            <a:t>Stormwater Performance-Based Credit Calculator </a:t>
          </a:r>
          <a:r>
            <a:rPr lang="en-US" sz="1400">
              <a:solidFill>
                <a:schemeClr val="dk1"/>
              </a:solidFill>
              <a:effectLst/>
              <a:latin typeface="+mn-lt"/>
              <a:ea typeface="+mn-ea"/>
              <a:cs typeface="+mn-cs"/>
            </a:rPr>
            <a:t>shows the runoff and pollutant reductions as a percentage of the values without trees, at both the site and canopy scales.  This can be help managers to understand the extent to which trees plantings aid in achieving standards for the design storm, compared to other BMPs. The method outlined in the Stormwater Performance-Based Credit Calculator can be incorporated by regulatory agencies as part of the stormwater compliance framework. </a:t>
          </a:r>
        </a:p>
        <a:p>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for tree planting was developed using a water balance model to estimate the mean annual runoff for a single tree at maturity planted over turf or impervious cover, compared to runoff from those same sites without trees. Documentation of the model is provided in Hynicka and Caraco (2017). </a:t>
          </a:r>
        </a:p>
        <a:p>
          <a:endParaRPr lang="en-US" sz="1400" u="sng"/>
        </a:p>
        <a:p>
          <a:r>
            <a:rPr lang="en-US" sz="1400" u="sng"/>
            <a:t>Instructions</a:t>
          </a:r>
          <a:endParaRPr lang="en-US" sz="1400" u="none"/>
        </a:p>
        <a:p>
          <a:r>
            <a:rPr lang="en-US" sz="1400">
              <a:solidFill>
                <a:schemeClr val="dk1"/>
              </a:solidFill>
              <a:effectLst/>
              <a:latin typeface="+mn-lt"/>
              <a:ea typeface="+mn-ea"/>
              <a:cs typeface="+mn-cs"/>
            </a:rPr>
            <a:t>The Credit</a:t>
          </a:r>
          <a:r>
            <a:rPr lang="en-US" sz="1400" baseline="0">
              <a:solidFill>
                <a:schemeClr val="dk1"/>
              </a:solidFill>
              <a:effectLst/>
              <a:latin typeface="+mn-lt"/>
              <a:ea typeface="+mn-ea"/>
              <a:cs typeface="+mn-cs"/>
            </a:rPr>
            <a:t> Sheet describes nine steps to apply the</a:t>
          </a:r>
          <a:r>
            <a:rPr lang="en-US" sz="1400">
              <a:solidFill>
                <a:schemeClr val="dk1"/>
              </a:solidFill>
              <a:effectLst/>
              <a:latin typeface="+mn-lt"/>
              <a:ea typeface="+mn-ea"/>
              <a:cs typeface="+mn-cs"/>
            </a:rPr>
            <a:t> Stormwater Performance-Based Credit. The following inputs are required:</a:t>
          </a:r>
        </a:p>
        <a:p>
          <a:pPr lvl="0"/>
          <a:r>
            <a:rPr lang="en-US" sz="1400">
              <a:solidFill>
                <a:schemeClr val="dk1"/>
              </a:solidFill>
              <a:effectLst/>
              <a:latin typeface="+mn-lt"/>
              <a:ea typeface="+mn-ea"/>
              <a:cs typeface="+mn-cs"/>
            </a:rPr>
            <a:t>1. Nearest city (select from a drop-down list of options and use the Climate</a:t>
          </a:r>
          <a:r>
            <a:rPr lang="en-US" sz="1400" baseline="0">
              <a:solidFill>
                <a:schemeClr val="dk1"/>
              </a:solidFill>
              <a:effectLst/>
              <a:latin typeface="+mn-lt"/>
              <a:ea typeface="+mn-ea"/>
              <a:cs typeface="+mn-cs"/>
            </a:rPr>
            <a:t> Zone Map provided for reference</a:t>
          </a:r>
          <a:r>
            <a:rPr lang="en-US" sz="1400">
              <a:solidFill>
                <a:schemeClr val="dk1"/>
              </a:solidFill>
              <a:effectLst/>
              <a:latin typeface="+mn-lt"/>
              <a:ea typeface="+mn-ea"/>
              <a:cs typeface="+mn-cs"/>
            </a:rPr>
            <a:t>)</a:t>
          </a:r>
        </a:p>
        <a:p>
          <a:pPr lvl="0"/>
          <a:r>
            <a:rPr lang="en-US" sz="1400">
              <a:solidFill>
                <a:schemeClr val="dk1"/>
              </a:solidFill>
              <a:effectLst/>
              <a:latin typeface="+mn-lt"/>
              <a:ea typeface="+mn-ea"/>
              <a:cs typeface="+mn-cs"/>
            </a:rPr>
            <a:t>2. Tree type (broadleaf deciduous large, medium or small; coniferous evergreen large or small)</a:t>
          </a:r>
        </a:p>
        <a:p>
          <a:pPr lvl="0"/>
          <a:r>
            <a:rPr lang="en-US" sz="1400">
              <a:solidFill>
                <a:schemeClr val="dk1"/>
              </a:solidFill>
              <a:effectLst/>
              <a:latin typeface="+mn-lt"/>
              <a:ea typeface="+mn-ea"/>
              <a:cs typeface="+mn-cs"/>
            </a:rPr>
            <a:t>3. Surface over which the tree will be planted (select from a combination of HSG soil type and pervious versus impervious cover) </a:t>
          </a:r>
        </a:p>
        <a:p>
          <a:pPr lvl="0"/>
          <a:r>
            <a:rPr lang="en-US" sz="1400">
              <a:solidFill>
                <a:schemeClr val="dk1"/>
              </a:solidFill>
              <a:effectLst/>
              <a:latin typeface="+mn-lt"/>
              <a:ea typeface="+mn-ea"/>
              <a:cs typeface="+mn-cs"/>
            </a:rPr>
            <a:t>4. Number of trees planted</a:t>
          </a:r>
        </a:p>
        <a:p>
          <a:pPr lvl="0"/>
          <a:r>
            <a:rPr lang="en-US" sz="1400">
              <a:solidFill>
                <a:schemeClr val="dk1"/>
              </a:solidFill>
              <a:effectLst/>
              <a:latin typeface="+mn-lt"/>
              <a:ea typeface="+mn-ea"/>
              <a:cs typeface="+mn-cs"/>
            </a:rPr>
            <a:t>5. Tree DBH (default is provided based on the tree type and region)</a:t>
          </a:r>
        </a:p>
        <a:p>
          <a:pPr lvl="0"/>
          <a:r>
            <a:rPr lang="en-US" sz="1400">
              <a:solidFill>
                <a:schemeClr val="dk1"/>
              </a:solidFill>
              <a:effectLst/>
              <a:latin typeface="+mn-lt"/>
              <a:ea typeface="+mn-ea"/>
              <a:cs typeface="+mn-cs"/>
            </a:rPr>
            <a:t>6. Tree canopy area (default values are provided based on modeling output from i-Tree Forecast)</a:t>
          </a:r>
        </a:p>
        <a:p>
          <a:pPr lvl="0"/>
          <a:r>
            <a:rPr lang="en-US" sz="1400">
              <a:solidFill>
                <a:schemeClr val="dk1"/>
              </a:solidFill>
              <a:effectLst/>
              <a:latin typeface="+mn-lt"/>
              <a:ea typeface="+mn-ea"/>
              <a:cs typeface="+mn-cs"/>
            </a:rPr>
            <a:t>7. A breakdown of HSG soil type/land cover combinations for the entire site (in square feet)  </a:t>
          </a:r>
        </a:p>
        <a:p>
          <a:pPr lvl="0"/>
          <a:r>
            <a:rPr lang="en-US" sz="1400">
              <a:solidFill>
                <a:schemeClr val="dk1"/>
              </a:solidFill>
              <a:effectLst/>
              <a:latin typeface="+mn-lt"/>
              <a:ea typeface="+mn-ea"/>
              <a:cs typeface="+mn-cs"/>
            </a:rPr>
            <a:t>8. The design storm, in inches</a:t>
          </a:r>
        </a:p>
        <a:p>
          <a:pPr lvl="0"/>
          <a:r>
            <a:rPr lang="en-US" sz="1400">
              <a:solidFill>
                <a:schemeClr val="dk1"/>
              </a:solidFill>
              <a:effectLst/>
              <a:latin typeface="+mn-lt"/>
              <a:ea typeface="+mn-ea"/>
              <a:cs typeface="+mn-cs"/>
            </a:rPr>
            <a:t>9. Nitrogen, phosphorus, and sediment concentrations (defaults are provided, but can be overridden with local data)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Stormwater Performance-Based Credit Calculator uses the above inputs to convert annual runoff reduction from the water balance model to an event-based reduction. Documentation for the calculations used are provided in CWP (2017a).</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results provided in the Stormwater Performance-Based Credit Calculator represent the potential benefits provided under optimal conditions.  Agencies adopting this crediting framework may wish to specify minimum qualifying conditions (e.g., minimum soil volume provided, maintenance plan in place) to obtain the full credit, and offer a reduced credit (70% of the optimal credit) where these conditions are not met. Another option is to include a credit ‘roll out’ schedule to account for early growth stages of a tree, relative to the tree at maturity. The Design Specifications for Urban Tree Planting provided in CWP (2017b) can also be incorporated as guidance into the crediting framework to ensure that trees planted can reach their full potential benefits.</a:t>
          </a:r>
        </a:p>
        <a:p>
          <a:endParaRPr lang="en-US" sz="1400" baseline="0">
            <a:solidFill>
              <a:schemeClr val="dk1"/>
            </a:solidFill>
            <a:effectLst/>
            <a:latin typeface="+mn-lt"/>
            <a:ea typeface="+mn-ea"/>
            <a:cs typeface="+mn-cs"/>
          </a:endParaRPr>
        </a:p>
        <a:p>
          <a:endParaRPr lang="en-US" sz="1400">
            <a:effectLst/>
          </a:endParaRPr>
        </a:p>
        <a:p>
          <a:endParaRPr lang="en-US" sz="1400" i="1" u="none" baseline="0"/>
        </a:p>
        <a:p>
          <a:pPr marL="0" indent="0"/>
          <a:endParaRPr lang="en-US" sz="1400" i="0"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xdr:txBody>
    </xdr:sp>
    <xdr:clientData/>
  </xdr:twoCellAnchor>
  <xdr:twoCellAnchor>
    <xdr:from>
      <xdr:col>14</xdr:col>
      <xdr:colOff>619125</xdr:colOff>
      <xdr:row>2</xdr:row>
      <xdr:rowOff>95250</xdr:rowOff>
    </xdr:from>
    <xdr:to>
      <xdr:col>20</xdr:col>
      <xdr:colOff>647700</xdr:colOff>
      <xdr:row>32</xdr:row>
      <xdr:rowOff>152400</xdr:rowOff>
    </xdr:to>
    <xdr:sp macro="" textlink="">
      <xdr:nvSpPr>
        <xdr:cNvPr id="3" name="TextBox 2"/>
        <xdr:cNvSpPr txBox="1"/>
      </xdr:nvSpPr>
      <xdr:spPr>
        <a:xfrm>
          <a:off x="10220325" y="495300"/>
          <a:ext cx="4143375" cy="60579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Copyright © 2017 Center for Watershed Protection, Inc. </a:t>
          </a:r>
        </a:p>
        <a:p>
          <a:r>
            <a:rPr lang="en-US" sz="1100">
              <a:solidFill>
                <a:schemeClr val="dk1"/>
              </a:solidFill>
              <a:effectLst/>
              <a:latin typeface="+mn-lt"/>
              <a:ea typeface="+mn-ea"/>
              <a:cs typeface="+mn-cs"/>
            </a:rPr>
            <a:t>Material may be quoted provided credit is given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additional information and documentation</a:t>
          </a:r>
          <a:r>
            <a:rPr lang="en-US" sz="1100" baseline="0">
              <a:solidFill>
                <a:schemeClr val="dk1"/>
              </a:solidFill>
              <a:effectLst/>
              <a:latin typeface="+mn-lt"/>
              <a:ea typeface="+mn-ea"/>
              <a:cs typeface="+mn-cs"/>
            </a:rPr>
            <a:t> see the following resources available at https://owl.cwp.org/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Stormwater Performance-Based Credit</a:t>
          </a:r>
          <a:r>
            <a:rPr lang="en-US" sz="1100">
              <a:solidFill>
                <a:schemeClr val="dk1"/>
              </a:solidFill>
              <a:effectLst/>
              <a:latin typeface="+mn-lt"/>
              <a:ea typeface="+mn-ea"/>
              <a:cs typeface="+mn-cs"/>
            </a:rPr>
            <a:t>. Crediting Framework Product #5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2017a. </a:t>
          </a:r>
          <a:r>
            <a:rPr lang="en-US" sz="1100" i="1">
              <a:solidFill>
                <a:schemeClr val="dk1"/>
              </a:solidFill>
              <a:effectLst/>
              <a:latin typeface="+mn-lt"/>
              <a:ea typeface="+mn-ea"/>
              <a:cs typeface="+mn-cs"/>
            </a:rPr>
            <a:t>Documentation for Stormwater Performance-Based Credit</a:t>
          </a:r>
          <a:r>
            <a:rPr lang="en-US" sz="1100">
              <a:solidFill>
                <a:schemeClr val="dk1"/>
              </a:solidFill>
              <a:effectLst/>
              <a:latin typeface="+mn-lt"/>
              <a:ea typeface="+mn-ea"/>
              <a:cs typeface="+mn-cs"/>
            </a:rPr>
            <a:t>. Crediting Framework Product #7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2017b. </a:t>
          </a:r>
          <a:r>
            <a:rPr lang="en-US" sz="1100" i="1">
              <a:solidFill>
                <a:schemeClr val="dk1"/>
              </a:solidFill>
              <a:effectLst/>
              <a:latin typeface="+mn-lt"/>
              <a:ea typeface="+mn-ea"/>
              <a:cs typeface="+mn-cs"/>
            </a:rPr>
            <a:t>Design Specifications for Urban Tree Planting</a:t>
          </a:r>
          <a:r>
            <a:rPr lang="en-US" sz="1100">
              <a:solidFill>
                <a:schemeClr val="dk1"/>
              </a:solidFill>
              <a:effectLst/>
              <a:latin typeface="+mn-lt"/>
              <a:ea typeface="+mn-ea"/>
              <a:cs typeface="+mn-cs"/>
            </a:rPr>
            <a:t>. Crediting Framework Product #8 for the project Making Urban Trees Count: A Project to Demonstrate the Role of Urban Trees in Achieving Regulatory Compliance for Clean Water. Center for Watershed Protection, Ellicott City, MD.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Hynicka, J. and D. Caraco. 2017. </a:t>
          </a:r>
          <a:r>
            <a:rPr lang="en-US" sz="1100" i="1">
              <a:solidFill>
                <a:schemeClr val="dk1"/>
              </a:solidFill>
              <a:effectLst/>
              <a:latin typeface="+mn-lt"/>
              <a:ea typeface="+mn-ea"/>
              <a:cs typeface="+mn-cs"/>
            </a:rPr>
            <a:t>Relative and Absolute Reductions in Annual Water Yield and Non-Point Source Pollutant Loads of Urban Trees</a:t>
          </a:r>
          <a:r>
            <a:rPr lang="en-US" sz="1100">
              <a:solidFill>
                <a:schemeClr val="dk1"/>
              </a:solidFill>
              <a:effectLst/>
              <a:latin typeface="+mn-lt"/>
              <a:ea typeface="+mn-ea"/>
              <a:cs typeface="+mn-cs"/>
            </a:rPr>
            <a:t>. Crediting Framework Product #2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editAs="oneCell">
    <xdr:from>
      <xdr:col>9</xdr:col>
      <xdr:colOff>447675</xdr:colOff>
      <xdr:row>0</xdr:row>
      <xdr:rowOff>38100</xdr:rowOff>
    </xdr:from>
    <xdr:to>
      <xdr:col>14</xdr:col>
      <xdr:colOff>200025</xdr:colOff>
      <xdr:row>6</xdr:row>
      <xdr:rowOff>142875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rcRect t="8129"/>
        <a:stretch>
          <a:fillRect/>
        </a:stretch>
      </xdr:blipFill>
      <xdr:spPr>
        <a:xfrm>
          <a:off x="6619875" y="38100"/>
          <a:ext cx="3181350" cy="13049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400050</xdr:colOff>
      <xdr:row>29</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rcRect l="3866" t="5477" r="3533" b="5880"/>
        <a:stretch>
          <a:fillRect/>
        </a:stretch>
      </xdr:blipFill>
      <xdr:spPr>
        <a:xfrm>
          <a:off x="0" y="0"/>
          <a:ext cx="7943850" cy="5905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Q11" sqref="Q11"/>
    </sheetView>
  </sheetViews>
  <sheetFormatPr defaultColWidth="9.00390625" defaultRowHeight="15.75"/>
  <sheetData/>
  <sheetProtection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zoomScale="70" zoomScaleNormal="70" workbookViewId="0" topLeftCell="A1">
      <selection activeCell="W12" sqref="W12"/>
    </sheetView>
  </sheetViews>
  <sheetFormatPr defaultColWidth="9.00390625" defaultRowHeight="15.75"/>
  <sheetData/>
  <sheetProtection sheet="1" objects="1" scenarios="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41"/>
  <sheetViews>
    <sheetView tabSelected="1" workbookViewId="0" topLeftCell="A1">
      <selection activeCell="D5" sqref="D5"/>
    </sheetView>
  </sheetViews>
  <sheetFormatPr defaultColWidth="8.75390625" defaultRowHeight="15.75"/>
  <cols>
    <col min="1" max="2" width="8.75390625" style="8" customWidth="1"/>
    <col min="3" max="3" width="52.00390625" style="8" customWidth="1"/>
    <col min="4" max="4" width="25.00390625" style="8" customWidth="1"/>
    <col min="5" max="5" width="27.375" style="8" customWidth="1"/>
    <col min="6" max="6" width="23.375" style="8" customWidth="1"/>
    <col min="7" max="7" width="23.625" style="8" customWidth="1"/>
    <col min="8" max="8" width="23.00390625" style="8" customWidth="1"/>
    <col min="9" max="9" width="16.25390625" style="8" hidden="1" customWidth="1"/>
    <col min="10" max="10" width="15.25390625" style="8" customWidth="1"/>
    <col min="11" max="16384" width="8.75390625" style="8" customWidth="1"/>
  </cols>
  <sheetData>
    <row r="3" ht="16" thickBot="1"/>
    <row r="4" spans="3:10" ht="49.15" customHeight="1" thickTop="1">
      <c r="C4" s="73" t="s">
        <v>0</v>
      </c>
      <c r="D4" s="5" t="s">
        <v>1</v>
      </c>
      <c r="E4" s="5" t="s">
        <v>2</v>
      </c>
      <c r="F4" s="5" t="s">
        <v>3</v>
      </c>
      <c r="G4" s="17" t="s">
        <v>4</v>
      </c>
      <c r="H4" s="5" t="s">
        <v>5</v>
      </c>
      <c r="I4" s="50"/>
      <c r="J4" s="6" t="s">
        <v>6</v>
      </c>
    </row>
    <row r="5" spans="3:10" ht="16" thickBot="1">
      <c r="C5" s="74"/>
      <c r="D5" s="64"/>
      <c r="E5" s="7" t="e">
        <f>VLOOKUP(D5,Lists!A3:B33,2,FALSE)</f>
        <v>#N/A</v>
      </c>
      <c r="F5" s="64"/>
      <c r="G5" s="65"/>
      <c r="H5" s="14" t="e">
        <f>VLOOKUP($G5,Lists!$Z3:$AB7,2,FALSE)</f>
        <v>#N/A</v>
      </c>
      <c r="I5" s="46"/>
      <c r="J5" s="45" t="e">
        <f>VLOOKUP($G5,Lists!$Z3:$AB7,3,FALSE)</f>
        <v>#N/A</v>
      </c>
    </row>
    <row r="6" spans="3:5" ht="16.5" thickBot="1" thickTop="1">
      <c r="C6" s="9"/>
      <c r="D6" s="21"/>
      <c r="E6" s="22"/>
    </row>
    <row r="7" spans="3:4" ht="47" thickTop="1">
      <c r="C7" s="73" t="s">
        <v>7</v>
      </c>
      <c r="D7" s="6" t="s">
        <v>8</v>
      </c>
    </row>
    <row r="8" spans="3:4" ht="16" thickBot="1">
      <c r="C8" s="74"/>
      <c r="D8" s="10">
        <f>IF($F$5="Grass - HSG A",SUMIFS(Lists!$R$3:$R$155,Lists!$N$3:$N$155,'Credit Sheet'!D5,Lists!$O$3:$O$155,'Credit Sheet'!$D$5),IF($F$5="Grass - HSG B",SUMIFS(Lists!$S$3:$S$155,Lists!$N$3:$N$155,'Credit Sheet'!$D$5,Lists!$O$3:$O$155,'Credit Sheet'!$G$5),IF(F5="Grass - HSG C",SUMIFS(Lists!$T$3:$T$155,Lists!$N$3:$N$155,'Credit Sheet'!$D$5,Lists!$O$3:$O$155,'Credit Sheet'!$G$5),IF($F$5="Grass - HSG D",SUMIFS(Lists!$U$3:$U$155,Lists!$N$3:$N$155,'Credit Sheet'!$D$5,Lists!$O$3:$O$155,'Credit Sheet'!$G$5),SUMIFS(Lists!$V$3:$V$155,Lists!$N$3:$N$155,'Credit Sheet'!$D$5,Lists!$O$3:$O$155,'Credit Sheet'!$G$5)))))</f>
        <v>0</v>
      </c>
    </row>
    <row r="9" spans="3:4" ht="16.5" thickBot="1" thickTop="1">
      <c r="C9" s="11"/>
      <c r="D9" s="11"/>
    </row>
    <row r="10" spans="3:4" ht="31">
      <c r="C10" s="73" t="s">
        <v>9</v>
      </c>
      <c r="D10" s="6" t="s">
        <v>10</v>
      </c>
    </row>
    <row r="11" spans="3:4" ht="16" thickBot="1">
      <c r="C11" s="74"/>
      <c r="D11" s="10" t="e">
        <f>VLOOKUP(D5,Lists!A3:F33,VLOOKUP(F5,Lists!H2:K7,4,FALSE),FALSE)</f>
        <v>#N/A</v>
      </c>
    </row>
    <row r="12" ht="16.5" thickBot="1" thickTop="1"/>
    <row r="13" spans="3:8" ht="31.5" thickTop="1">
      <c r="C13" s="75" t="s">
        <v>11</v>
      </c>
      <c r="D13" s="69" t="s">
        <v>12</v>
      </c>
      <c r="E13" s="5" t="s">
        <v>13</v>
      </c>
      <c r="F13" s="5" t="s">
        <v>14</v>
      </c>
      <c r="G13" s="25" t="s">
        <v>15</v>
      </c>
      <c r="H13" s="40" t="s">
        <v>16</v>
      </c>
    </row>
    <row r="14" spans="3:8" ht="16" thickBot="1">
      <c r="C14" s="76"/>
      <c r="D14" s="66"/>
      <c r="E14" s="47">
        <f>SUMIFS(Lists!$Q$3:$Q$155,Lists!$N$3:$N$155,'Credit Sheet'!D5,Lists!$O$3:$O$155,'Credit Sheet'!$G$5)</f>
        <v>0</v>
      </c>
      <c r="F14" s="64"/>
      <c r="G14" s="48">
        <f>SUMIFS(Lists!$P$3:$P$155,Lists!$N$3:$N$155,'Credit Sheet'!D5,Lists!$O$3:$O$155,'Credit Sheet'!$G$5)*D14</f>
        <v>0</v>
      </c>
      <c r="H14" s="67"/>
    </row>
    <row r="15" ht="16.5" thickBot="1" thickTop="1"/>
    <row r="16" spans="3:10" ht="47" thickTop="1">
      <c r="C16" s="75" t="s">
        <v>17</v>
      </c>
      <c r="D16" s="69" t="s">
        <v>18</v>
      </c>
      <c r="E16" s="5" t="s">
        <v>19</v>
      </c>
      <c r="F16" s="5" t="s">
        <v>20</v>
      </c>
      <c r="G16" s="5" t="s">
        <v>21</v>
      </c>
      <c r="H16" s="5" t="s">
        <v>22</v>
      </c>
      <c r="I16" s="50" t="s">
        <v>23</v>
      </c>
      <c r="J16" s="6" t="s">
        <v>24</v>
      </c>
    </row>
    <row r="17" spans="3:10" ht="16" thickBot="1">
      <c r="C17" s="76"/>
      <c r="D17" s="41" t="e">
        <f>F14*D14*D11*D8</f>
        <v>#N/A</v>
      </c>
      <c r="E17" s="24" t="e">
        <f>VLOOKUP(F5,Lists!H3:J7,VLOOKUP(E5,Lists!H9:I19,2,FALSE),FALSE)</f>
        <v>#N/A</v>
      </c>
      <c r="F17" s="24" t="e">
        <f>(MAX(D11-0.05*(1000/E17-10),0))^2/(D11+0.95*(1000/E17-10))*H14/12</f>
        <v>#N/A</v>
      </c>
      <c r="G17" s="24" t="e">
        <f>MAX(F17-D17,0)</f>
        <v>#N/A</v>
      </c>
      <c r="H17" s="14" t="e">
        <f>G17/H14*12</f>
        <v>#N/A</v>
      </c>
      <c r="I17" s="46" t="e">
        <f>(2*D11+19*H17-SQRT(361*H17^2+80*D11*H17))/2</f>
        <v>#N/A</v>
      </c>
      <c r="J17" s="45" t="e">
        <f>MIN(E17,100/(2*I17+1))</f>
        <v>#N/A</v>
      </c>
    </row>
    <row r="18" ht="16.5" thickBot="1" thickTop="1"/>
    <row r="19" spans="3:7" ht="31.5" thickTop="1">
      <c r="C19" s="82" t="s">
        <v>25</v>
      </c>
      <c r="D19" s="42"/>
      <c r="E19" s="5" t="s">
        <v>26</v>
      </c>
      <c r="F19" s="5" t="s">
        <v>27</v>
      </c>
      <c r="G19" s="5" t="s">
        <v>28</v>
      </c>
    </row>
    <row r="20" spans="3:7" ht="16" thickBot="1">
      <c r="C20" s="83"/>
      <c r="E20" s="26" t="e">
        <f>VLOOKUP(D5,Lists!A3:F33,6)</f>
        <v>#N/A</v>
      </c>
      <c r="F20" s="64"/>
      <c r="G20" s="43" t="e">
        <f>(MAX(F20-(1000/E17-10)*0.05,0))^2/((1000/E17-10)*0.95+F20)*H14/12</f>
        <v>#N/A</v>
      </c>
    </row>
    <row r="21" spans="3:7" ht="42.65" customHeight="1" thickTop="1">
      <c r="C21" s="83"/>
      <c r="D21" s="29" t="s">
        <v>29</v>
      </c>
      <c r="E21" s="30" t="s">
        <v>30</v>
      </c>
      <c r="F21" s="30" t="s">
        <v>31</v>
      </c>
      <c r="G21" s="31" t="s">
        <v>32</v>
      </c>
    </row>
    <row r="22" spans="3:7" ht="15.75">
      <c r="C22" s="83"/>
      <c r="D22" s="3" t="s">
        <v>33</v>
      </c>
      <c r="E22" s="68"/>
      <c r="F22" s="51" t="e">
        <f>IF(VLOOKUP(E5,Lists!H9:I19,2,FALSE)=2,SUMPRODUCT(E22:E26,Lists!I3:I7)/E27,SUMPRODUCT(E22:E26,Lists!J3:J7)/E27)</f>
        <v>#N/A</v>
      </c>
      <c r="G22" s="23" t="e">
        <f>(MAX(F20-(1000/F22-10)*0.05,0))^2/(1000/F22*0.95-9.5+F20)*E27/12</f>
        <v>#N/A</v>
      </c>
    </row>
    <row r="23" spans="3:7" ht="15.75">
      <c r="C23" s="83"/>
      <c r="D23" s="3" t="s">
        <v>34</v>
      </c>
      <c r="E23" s="68"/>
      <c r="F23" s="32"/>
      <c r="G23" s="33"/>
    </row>
    <row r="24" spans="3:7" ht="15.75">
      <c r="C24" s="83"/>
      <c r="D24" s="3" t="s">
        <v>35</v>
      </c>
      <c r="E24" s="68"/>
      <c r="F24" s="34"/>
      <c r="G24" s="35"/>
    </row>
    <row r="25" spans="3:7" ht="15.75">
      <c r="C25" s="83"/>
      <c r="D25" s="3" t="s">
        <v>36</v>
      </c>
      <c r="E25" s="68"/>
      <c r="F25" s="34"/>
      <c r="G25" s="35"/>
    </row>
    <row r="26" spans="3:7" ht="15.75">
      <c r="C26" s="83"/>
      <c r="D26" s="3" t="s">
        <v>37</v>
      </c>
      <c r="E26" s="68"/>
      <c r="F26" s="34"/>
      <c r="G26" s="35"/>
    </row>
    <row r="27" spans="3:7" ht="16" thickBot="1">
      <c r="C27" s="84"/>
      <c r="D27" s="4" t="s">
        <v>38</v>
      </c>
      <c r="E27" s="7">
        <f>SUM(E22:E26)</f>
        <v>0</v>
      </c>
      <c r="F27" s="36"/>
      <c r="G27" s="37"/>
    </row>
    <row r="28" ht="16.5" thickBot="1" thickTop="1"/>
    <row r="29" spans="3:5" ht="31.5" thickTop="1">
      <c r="C29" s="77" t="s">
        <v>39</v>
      </c>
      <c r="D29" s="5" t="s">
        <v>40</v>
      </c>
      <c r="E29" s="6" t="s">
        <v>41</v>
      </c>
    </row>
    <row r="30" spans="3:5" ht="16" thickBot="1">
      <c r="C30" s="78"/>
      <c r="D30" s="24" t="e">
        <f>(MAX(F20-0.05*(1000/J17-10),0))^2/((1000/J17-10)*0.95+F20)*H14/12</f>
        <v>#N/A</v>
      </c>
      <c r="E30" s="12" t="e">
        <f>G20-D30</f>
        <v>#N/A</v>
      </c>
    </row>
    <row r="31" ht="16.5" thickBot="1" thickTop="1"/>
    <row r="32" spans="3:6" ht="31">
      <c r="C32" s="79" t="s">
        <v>42</v>
      </c>
      <c r="D32" s="5" t="s">
        <v>43</v>
      </c>
      <c r="E32" s="5" t="s">
        <v>44</v>
      </c>
      <c r="F32" s="6" t="s">
        <v>45</v>
      </c>
    </row>
    <row r="33" spans="3:6" ht="15.75">
      <c r="C33" s="80"/>
      <c r="D33" s="44">
        <v>1.45</v>
      </c>
      <c r="E33" s="27">
        <v>0.25</v>
      </c>
      <c r="F33" s="28">
        <v>140</v>
      </c>
    </row>
    <row r="34" spans="3:6" ht="31">
      <c r="C34" s="80"/>
      <c r="D34" s="13" t="s">
        <v>46</v>
      </c>
      <c r="E34" s="13" t="s">
        <v>47</v>
      </c>
      <c r="F34" s="15" t="s">
        <v>48</v>
      </c>
    </row>
    <row r="35" spans="3:6" ht="16" thickBot="1">
      <c r="C35" s="81"/>
      <c r="D35" s="14" t="e">
        <f>$E$30*D33*6.24/100000</f>
        <v>#N/A</v>
      </c>
      <c r="E35" s="14" t="e">
        <f>$E$30*E33*6.24/100000</f>
        <v>#N/A</v>
      </c>
      <c r="F35" s="10" t="e">
        <f>$E$30*F33*6.24/100000</f>
        <v>#N/A</v>
      </c>
    </row>
    <row r="36" spans="3:6" ht="16" thickTop="1">
      <c r="C36" s="2"/>
      <c r="D36" s="2"/>
      <c r="E36" s="2"/>
      <c r="F36" s="2"/>
    </row>
    <row r="37" ht="21" customHeight="1" thickBot="1"/>
    <row r="38" spans="3:5" ht="16" thickTop="1">
      <c r="C38" s="82" t="s">
        <v>49</v>
      </c>
      <c r="D38" s="85"/>
      <c r="E38" s="71" t="s">
        <v>50</v>
      </c>
    </row>
    <row r="39" spans="3:5" ht="15.75">
      <c r="C39" s="83"/>
      <c r="D39" s="86"/>
      <c r="E39" s="72"/>
    </row>
    <row r="40" spans="3:6" ht="15.75">
      <c r="C40" s="83"/>
      <c r="D40" s="70" t="s">
        <v>51</v>
      </c>
      <c r="E40" s="19" t="e">
        <f>E$30/G20</f>
        <v>#N/A</v>
      </c>
      <c r="F40" s="16"/>
    </row>
    <row r="41" spans="3:6" ht="16" thickBot="1">
      <c r="C41" s="84"/>
      <c r="D41" s="18" t="s">
        <v>52</v>
      </c>
      <c r="E41" s="20" t="e">
        <f>E$30/G22</f>
        <v>#N/A</v>
      </c>
      <c r="F41" s="16"/>
    </row>
    <row r="42" ht="16" thickTop="1"/>
  </sheetData>
  <sheetProtection sheet="1" objects="1" scenarios="1" selectLockedCells="1"/>
  <mergeCells count="11">
    <mergeCell ref="E38:E39"/>
    <mergeCell ref="C4:C5"/>
    <mergeCell ref="C7:C8"/>
    <mergeCell ref="C13:C14"/>
    <mergeCell ref="C29:C30"/>
    <mergeCell ref="C32:C35"/>
    <mergeCell ref="C10:C11"/>
    <mergeCell ref="C16:C17"/>
    <mergeCell ref="C38:C41"/>
    <mergeCell ref="D38:D39"/>
    <mergeCell ref="C19:C27"/>
  </mergeCells>
  <dataValidations count="3">
    <dataValidation type="list" allowBlank="1" showInputMessage="1" showErrorMessage="1" sqref="F5:F6">
      <formula1>Lists!$H$3:$H$7</formula1>
    </dataValidation>
    <dataValidation type="list" allowBlank="1" showInputMessage="1" showErrorMessage="1" sqref="G5">
      <formula1>Lists!$O$3:$O$7</formula1>
    </dataValidation>
    <dataValidation type="list" allowBlank="1" showInputMessage="1" showErrorMessage="1" sqref="D5:D6">
      <formula1>Lists!$A$3:$A$33</formula1>
    </dataValidation>
  </dataValidations>
  <printOptions/>
  <pageMargins left="0.7" right="0.7" top="0.75" bottom="0.75" header="0.3" footer="0.3"/>
  <pageSetup horizontalDpi="600" verticalDpi="600" orientation="portrait" paperSize="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3" sqref="N23"/>
    </sheetView>
  </sheetViews>
  <sheetFormatPr defaultColWidth="9.00390625" defaultRowHeight="15.7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2"/>
  <sheetViews>
    <sheetView workbookViewId="0" topLeftCell="O1">
      <selection activeCell="S41" sqref="S41"/>
    </sheetView>
  </sheetViews>
  <sheetFormatPr defaultColWidth="9.00390625" defaultRowHeight="15.75"/>
  <cols>
    <col min="1" max="1" width="18.50390625" style="0" customWidth="1"/>
    <col min="2" max="2" width="25.50390625" style="0" customWidth="1"/>
    <col min="3" max="3" width="19.75390625" style="0" customWidth="1"/>
    <col min="8" max="8" width="25.875" style="0" customWidth="1"/>
    <col min="9" max="10" width="15.00390625" style="0" customWidth="1"/>
    <col min="11" max="13" width="15.125" style="0" customWidth="1"/>
    <col min="14" max="14" width="29.625" style="0" customWidth="1"/>
    <col min="16" max="16" width="10.75390625" style="0" customWidth="1"/>
    <col min="17" max="17" width="8.75390625" style="49" customWidth="1"/>
    <col min="18" max="22" width="11.25390625" style="0" customWidth="1"/>
    <col min="25" max="25" width="13.75390625" style="0" customWidth="1"/>
    <col min="26" max="26" width="14.25390625" style="0" customWidth="1"/>
    <col min="27" max="27" width="19.50390625" style="0" customWidth="1"/>
  </cols>
  <sheetData>
    <row r="1" spans="7:18" ht="15.75">
      <c r="G1" t="s">
        <v>53</v>
      </c>
      <c r="N1" t="s">
        <v>54</v>
      </c>
      <c r="R1" t="s">
        <v>53</v>
      </c>
    </row>
    <row r="2" spans="1:28" ht="15.75">
      <c r="A2" s="1" t="s">
        <v>55</v>
      </c>
      <c r="B2" s="1" t="s">
        <v>56</v>
      </c>
      <c r="C2" t="s">
        <v>57</v>
      </c>
      <c r="D2" s="39">
        <v>0.7</v>
      </c>
      <c r="E2" s="39">
        <v>0.8</v>
      </c>
      <c r="F2" s="39">
        <v>0.9</v>
      </c>
      <c r="H2" t="s">
        <v>58</v>
      </c>
      <c r="I2" t="s">
        <v>59</v>
      </c>
      <c r="J2" t="s">
        <v>60</v>
      </c>
      <c r="K2" t="s">
        <v>61</v>
      </c>
      <c r="N2" t="s">
        <v>62</v>
      </c>
      <c r="O2" t="s">
        <v>63</v>
      </c>
      <c r="P2" t="s">
        <v>64</v>
      </c>
      <c r="Q2" s="49" t="s">
        <v>65</v>
      </c>
      <c r="R2" s="38" t="s">
        <v>66</v>
      </c>
      <c r="S2" s="38" t="s">
        <v>67</v>
      </c>
      <c r="T2" s="38" t="s">
        <v>68</v>
      </c>
      <c r="U2" s="38" t="s">
        <v>69</v>
      </c>
      <c r="V2" s="38" t="s">
        <v>70</v>
      </c>
      <c r="Z2" s="38" t="s">
        <v>71</v>
      </c>
      <c r="AA2" s="38" t="s">
        <v>5</v>
      </c>
      <c r="AB2" t="s">
        <v>6</v>
      </c>
    </row>
    <row r="3" spans="1:28" ht="15.75">
      <c r="A3" t="s">
        <v>72</v>
      </c>
      <c r="B3" t="s">
        <v>73</v>
      </c>
      <c r="C3">
        <v>8.74166666666667</v>
      </c>
      <c r="D3">
        <v>0.35</v>
      </c>
      <c r="E3">
        <v>0.5</v>
      </c>
      <c r="F3">
        <v>0.672</v>
      </c>
      <c r="H3" t="s">
        <v>33</v>
      </c>
      <c r="I3">
        <f>100/(1.879*(100/49-1)^1.15+1)</f>
        <v>33.69879805445797</v>
      </c>
      <c r="J3">
        <f>100/(1.879*(100/55-1)^1.15+1)</f>
        <v>40.13199271894092</v>
      </c>
      <c r="K3">
        <v>6</v>
      </c>
      <c r="L3" s="62"/>
      <c r="M3" s="53"/>
      <c r="N3" t="s">
        <v>72</v>
      </c>
      <c r="O3" s="53" t="s">
        <v>74</v>
      </c>
      <c r="P3" s="63">
        <v>829.5768100885548</v>
      </c>
      <c r="Q3" s="56">
        <v>16</v>
      </c>
      <c r="R3" s="58">
        <v>0</v>
      </c>
      <c r="S3" s="58">
        <v>0.006151496561539134</v>
      </c>
      <c r="T3" s="58">
        <v>0.02460598624615654</v>
      </c>
      <c r="U3" s="59">
        <v>0.07996945530000872</v>
      </c>
      <c r="V3" s="58">
        <v>0.33218081432311325</v>
      </c>
      <c r="Z3" s="53" t="s">
        <v>74</v>
      </c>
      <c r="AA3" t="s">
        <v>75</v>
      </c>
      <c r="AB3" t="s">
        <v>76</v>
      </c>
    </row>
    <row r="4" spans="1:28" ht="15.75">
      <c r="A4" t="s">
        <v>77</v>
      </c>
      <c r="B4" t="s">
        <v>78</v>
      </c>
      <c r="C4">
        <v>61.4816666666667</v>
      </c>
      <c r="D4">
        <v>0.853</v>
      </c>
      <c r="E4">
        <v>1.192</v>
      </c>
      <c r="F4">
        <v>1.802</v>
      </c>
      <c r="H4" t="s">
        <v>34</v>
      </c>
      <c r="I4">
        <f>100/(1.879*(100/69-1)^1.15+1)</f>
        <v>57.184861836693074</v>
      </c>
      <c r="J4">
        <f>100/(1.879*(100/71-1)^1.15+1)</f>
        <v>59.84358248926702</v>
      </c>
      <c r="K4">
        <v>5</v>
      </c>
      <c r="L4" s="62"/>
      <c r="M4" s="55"/>
      <c r="N4" t="s">
        <v>72</v>
      </c>
      <c r="O4" s="55" t="s">
        <v>79</v>
      </c>
      <c r="P4" s="63">
        <v>191.134497044403</v>
      </c>
      <c r="Q4" s="57">
        <v>9.5</v>
      </c>
      <c r="R4" s="60">
        <v>0</v>
      </c>
      <c r="S4" s="60">
        <v>0.0023802198529295146</v>
      </c>
      <c r="T4" s="60">
        <v>0.007140659558788544</v>
      </c>
      <c r="U4" s="61">
        <v>0.028562638235154182</v>
      </c>
      <c r="V4" s="60">
        <v>0.07616703529374454</v>
      </c>
      <c r="Z4" s="55" t="s">
        <v>79</v>
      </c>
      <c r="AA4" t="s">
        <v>75</v>
      </c>
      <c r="AB4" t="s">
        <v>80</v>
      </c>
    </row>
    <row r="5" spans="1:28" ht="15.75">
      <c r="A5" t="s">
        <v>81</v>
      </c>
      <c r="B5" t="s">
        <v>82</v>
      </c>
      <c r="C5">
        <v>19.3866666666667</v>
      </c>
      <c r="D5">
        <v>0.46</v>
      </c>
      <c r="E5">
        <v>0.62</v>
      </c>
      <c r="F5">
        <v>0.9</v>
      </c>
      <c r="H5" t="s">
        <v>35</v>
      </c>
      <c r="I5">
        <f>100/(1.879*(100/79-1)^1.15+1)</f>
        <v>70.949331915765</v>
      </c>
      <c r="J5">
        <f>100/(1.879*(100/81-1)^1.15+1)</f>
        <v>73.82266776652962</v>
      </c>
      <c r="K5">
        <v>5</v>
      </c>
      <c r="L5" s="62"/>
      <c r="M5" s="53"/>
      <c r="N5" t="s">
        <v>72</v>
      </c>
      <c r="O5" s="53" t="s">
        <v>83</v>
      </c>
      <c r="P5" s="63">
        <v>179.07863523625218</v>
      </c>
      <c r="Q5" s="56">
        <v>3.6</v>
      </c>
      <c r="R5" s="58">
        <v>0</v>
      </c>
      <c r="S5" s="58">
        <v>0</v>
      </c>
      <c r="T5" s="58">
        <v>0.011781392301283866</v>
      </c>
      <c r="U5" s="59">
        <v>0.04712556920513546</v>
      </c>
      <c r="V5" s="58">
        <v>0.3122068959840225</v>
      </c>
      <c r="Z5" s="53" t="s">
        <v>83</v>
      </c>
      <c r="AA5" t="s">
        <v>75</v>
      </c>
      <c r="AB5" t="s">
        <v>84</v>
      </c>
    </row>
    <row r="6" spans="1:28" ht="15.75">
      <c r="A6" t="s">
        <v>85</v>
      </c>
      <c r="B6" t="s">
        <v>86</v>
      </c>
      <c r="C6">
        <v>11.285</v>
      </c>
      <c r="D6">
        <v>0.29</v>
      </c>
      <c r="E6">
        <v>0.36</v>
      </c>
      <c r="F6">
        <v>0.471</v>
      </c>
      <c r="H6" t="s">
        <v>36</v>
      </c>
      <c r="I6">
        <f>100/(1.879*(100/84-1)^1.15+1)</f>
        <v>78.18060878597515</v>
      </c>
      <c r="J6">
        <f>100/(1.879*(100/89-1)^1.15+1)</f>
        <v>85.49063507788524</v>
      </c>
      <c r="K6">
        <v>5</v>
      </c>
      <c r="L6" s="62"/>
      <c r="M6" s="55"/>
      <c r="N6" t="s">
        <v>72</v>
      </c>
      <c r="O6" s="55" t="s">
        <v>87</v>
      </c>
      <c r="P6" s="63">
        <v>716.3145409450087</v>
      </c>
      <c r="Q6" s="57">
        <v>22.7</v>
      </c>
      <c r="R6" s="60">
        <v>0</v>
      </c>
      <c r="S6" s="60">
        <v>0.0037368292761781412</v>
      </c>
      <c r="T6" s="60">
        <v>0.01494731710471257</v>
      </c>
      <c r="U6" s="61">
        <v>0.052315609866493994</v>
      </c>
      <c r="V6" s="60">
        <v>0.2541043907801137</v>
      </c>
      <c r="Z6" s="55" t="s">
        <v>87</v>
      </c>
      <c r="AA6" t="s">
        <v>88</v>
      </c>
      <c r="AB6" t="s">
        <v>76</v>
      </c>
    </row>
    <row r="7" spans="1:28" ht="15.75">
      <c r="A7" t="s">
        <v>89</v>
      </c>
      <c r="B7" t="s">
        <v>78</v>
      </c>
      <c r="C7">
        <v>52.0725</v>
      </c>
      <c r="D7">
        <v>0.8</v>
      </c>
      <c r="E7">
        <v>1.05</v>
      </c>
      <c r="F7">
        <v>1.55</v>
      </c>
      <c r="H7" t="s">
        <v>90</v>
      </c>
      <c r="I7">
        <f>100/(1.879*(100/98-1)^1.15+1)</f>
        <v>97.90583987749035</v>
      </c>
      <c r="J7">
        <f>100/(1.879*(100/98-1)^1.15+1)</f>
        <v>97.90583987749035</v>
      </c>
      <c r="K7">
        <v>5</v>
      </c>
      <c r="L7" s="62"/>
      <c r="M7" s="53"/>
      <c r="N7" t="s">
        <v>72</v>
      </c>
      <c r="O7" s="53" t="s">
        <v>91</v>
      </c>
      <c r="P7" s="63">
        <v>243.28493509399362</v>
      </c>
      <c r="Q7" s="56">
        <v>10.1</v>
      </c>
      <c r="R7" s="58">
        <v>0</v>
      </c>
      <c r="S7" s="58">
        <v>0.00285076661956118</v>
      </c>
      <c r="T7" s="58">
        <v>0.011403066478244721</v>
      </c>
      <c r="U7" s="59">
        <v>0.03705996605429533</v>
      </c>
      <c r="V7" s="58">
        <v>0.17389676379323202</v>
      </c>
      <c r="Z7" s="53" t="s">
        <v>91</v>
      </c>
      <c r="AA7" t="s">
        <v>88</v>
      </c>
      <c r="AB7" t="s">
        <v>84</v>
      </c>
    </row>
    <row r="8" spans="1:26" ht="15.75">
      <c r="A8" t="s">
        <v>92</v>
      </c>
      <c r="B8" t="s">
        <v>93</v>
      </c>
      <c r="C8">
        <v>51.1016666666667</v>
      </c>
      <c r="D8">
        <v>0.73</v>
      </c>
      <c r="E8">
        <v>0.97</v>
      </c>
      <c r="F8">
        <v>1.398</v>
      </c>
      <c r="L8" s="62"/>
      <c r="M8" s="55"/>
      <c r="N8" t="s">
        <v>77</v>
      </c>
      <c r="O8" s="55" t="s">
        <v>74</v>
      </c>
      <c r="P8" s="63">
        <v>2436.6899479589497</v>
      </c>
      <c r="Q8" s="57">
        <v>38.5</v>
      </c>
      <c r="R8" s="60">
        <v>0.09086295338397843</v>
      </c>
      <c r="S8" s="60">
        <v>0.25318123904079437</v>
      </c>
      <c r="T8" s="60">
        <v>0.37580211787936707</v>
      </c>
      <c r="U8" s="61">
        <v>0.4393179687885561</v>
      </c>
      <c r="V8" s="60">
        <v>0.1023310931314712</v>
      </c>
      <c r="Z8" s="55"/>
    </row>
    <row r="9" spans="1:26" ht="15.75">
      <c r="A9" t="s">
        <v>94</v>
      </c>
      <c r="B9" t="s">
        <v>82</v>
      </c>
      <c r="C9">
        <v>15.5708333333333</v>
      </c>
      <c r="D9">
        <v>0.34</v>
      </c>
      <c r="E9">
        <v>0.47</v>
      </c>
      <c r="F9">
        <v>0.767000000000001</v>
      </c>
      <c r="H9" t="s">
        <v>95</v>
      </c>
      <c r="I9">
        <v>2</v>
      </c>
      <c r="L9" s="62"/>
      <c r="M9" s="53"/>
      <c r="N9" t="s">
        <v>77</v>
      </c>
      <c r="O9" s="53" t="s">
        <v>79</v>
      </c>
      <c r="P9" s="63">
        <v>789.2387604164618</v>
      </c>
      <c r="Q9" s="56">
        <v>22.6</v>
      </c>
      <c r="R9" s="58">
        <v>0.06955315471613996</v>
      </c>
      <c r="S9" s="58">
        <v>0.22762850634373075</v>
      </c>
      <c r="T9" s="58">
        <v>0.35408878764580354</v>
      </c>
      <c r="U9" s="59">
        <v>0.42801941363778445</v>
      </c>
      <c r="V9" s="58">
        <v>0.20233645008331647</v>
      </c>
      <c r="Z9" s="53"/>
    </row>
    <row r="10" spans="1:26" ht="15.75">
      <c r="A10" t="s">
        <v>96</v>
      </c>
      <c r="B10" t="s">
        <v>97</v>
      </c>
      <c r="C10">
        <v>39.9716666666667</v>
      </c>
      <c r="D10">
        <v>0.566999999999999</v>
      </c>
      <c r="E10">
        <v>0.73</v>
      </c>
      <c r="F10">
        <v>1.059</v>
      </c>
      <c r="H10" t="s">
        <v>78</v>
      </c>
      <c r="I10">
        <v>2</v>
      </c>
      <c r="L10" s="62"/>
      <c r="M10" s="55"/>
      <c r="N10" t="s">
        <v>77</v>
      </c>
      <c r="O10" s="55" t="s">
        <v>83</v>
      </c>
      <c r="P10" s="63">
        <v>642.4242817325768</v>
      </c>
      <c r="Q10" s="57">
        <v>14</v>
      </c>
      <c r="R10" s="60">
        <v>0.06525895090320237</v>
      </c>
      <c r="S10" s="60">
        <v>0.1880993290739363</v>
      </c>
      <c r="T10" s="60">
        <v>0.27319188270262174</v>
      </c>
      <c r="U10" s="61">
        <v>0.3109397072446702</v>
      </c>
      <c r="V10" s="60">
        <v>0.09916801362741519</v>
      </c>
      <c r="Z10" s="55"/>
    </row>
    <row r="11" spans="1:26" ht="15.75">
      <c r="A11" t="s">
        <v>98</v>
      </c>
      <c r="B11" t="s">
        <v>78</v>
      </c>
      <c r="C11">
        <v>29.46</v>
      </c>
      <c r="D11">
        <v>0.733</v>
      </c>
      <c r="E11">
        <v>1.032</v>
      </c>
      <c r="F11">
        <v>1.591</v>
      </c>
      <c r="H11" t="s">
        <v>86</v>
      </c>
      <c r="I11">
        <v>3</v>
      </c>
      <c r="L11" s="62"/>
      <c r="M11" s="53"/>
      <c r="N11" t="s">
        <v>77</v>
      </c>
      <c r="O11" s="53" t="s">
        <v>87</v>
      </c>
      <c r="P11" s="63">
        <v>665.0830187465932</v>
      </c>
      <c r="Q11" s="56">
        <v>21.9</v>
      </c>
      <c r="R11" s="58">
        <v>0.057554199131578936</v>
      </c>
      <c r="S11" s="58">
        <v>0.1790104870048375</v>
      </c>
      <c r="T11" s="58">
        <v>0.2716896753123065</v>
      </c>
      <c r="U11" s="59">
        <v>0.3237423701151317</v>
      </c>
      <c r="V11" s="58">
        <v>0.10495177488699677</v>
      </c>
      <c r="Z11" s="53"/>
    </row>
    <row r="12" spans="1:26" ht="15.75">
      <c r="A12" t="s">
        <v>99</v>
      </c>
      <c r="B12" t="s">
        <v>93</v>
      </c>
      <c r="C12">
        <v>36.3283333333333</v>
      </c>
      <c r="D12">
        <v>0.79</v>
      </c>
      <c r="E12">
        <v>1.08</v>
      </c>
      <c r="F12">
        <v>1.563</v>
      </c>
      <c r="H12" t="s">
        <v>97</v>
      </c>
      <c r="I12">
        <v>2</v>
      </c>
      <c r="L12" s="62"/>
      <c r="M12" s="55"/>
      <c r="N12" t="s">
        <v>77</v>
      </c>
      <c r="O12" s="55" t="s">
        <v>91</v>
      </c>
      <c r="P12" s="63">
        <v>22.061834409834322</v>
      </c>
      <c r="Q12" s="57">
        <v>3.8</v>
      </c>
      <c r="R12" s="60">
        <v>0.011552334586392437</v>
      </c>
      <c r="S12" s="60">
        <v>0.0375044101713163</v>
      </c>
      <c r="T12" s="60">
        <v>0.057843027400880466</v>
      </c>
      <c r="U12" s="61">
        <v>0.06980213433186419</v>
      </c>
      <c r="V12" s="60">
        <v>0.027904582838962022</v>
      </c>
      <c r="Z12" s="55"/>
    </row>
    <row r="13" spans="1:22" ht="15.75">
      <c r="A13" t="s">
        <v>100</v>
      </c>
      <c r="B13" t="s">
        <v>101</v>
      </c>
      <c r="C13">
        <v>38.1341666666667</v>
      </c>
      <c r="D13">
        <v>0.61</v>
      </c>
      <c r="E13">
        <v>0.81</v>
      </c>
      <c r="F13">
        <v>1.22</v>
      </c>
      <c r="H13" t="s">
        <v>101</v>
      </c>
      <c r="I13">
        <v>2</v>
      </c>
      <c r="L13" s="62"/>
      <c r="M13" s="53"/>
      <c r="N13" t="s">
        <v>81</v>
      </c>
      <c r="O13" s="53" t="s">
        <v>74</v>
      </c>
      <c r="P13" s="63">
        <v>1534.3852679397912</v>
      </c>
      <c r="Q13" s="56">
        <v>26.1</v>
      </c>
      <c r="R13" s="58">
        <v>0.03327328334914992</v>
      </c>
      <c r="S13" s="58">
        <v>0.19963970009489954</v>
      </c>
      <c r="T13" s="58">
        <v>0.40815227574957236</v>
      </c>
      <c r="U13" s="59">
        <v>0.5767369113852653</v>
      </c>
      <c r="V13" s="58">
        <v>0.3615696790607624</v>
      </c>
    </row>
    <row r="14" spans="1:22" ht="15.75">
      <c r="A14" t="s">
        <v>102</v>
      </c>
      <c r="B14" t="s">
        <v>103</v>
      </c>
      <c r="C14">
        <v>37.075</v>
      </c>
      <c r="D14">
        <v>0.45</v>
      </c>
      <c r="E14">
        <v>0.58</v>
      </c>
      <c r="F14">
        <v>0.82</v>
      </c>
      <c r="H14" t="s">
        <v>82</v>
      </c>
      <c r="I14">
        <v>2</v>
      </c>
      <c r="L14" s="62"/>
      <c r="M14" s="55"/>
      <c r="N14" t="s">
        <v>81</v>
      </c>
      <c r="O14" s="55" t="s">
        <v>79</v>
      </c>
      <c r="P14" s="63">
        <v>93.31315579325083</v>
      </c>
      <c r="Q14" s="57">
        <v>6.4</v>
      </c>
      <c r="R14" s="60">
        <v>0.004945935154669261</v>
      </c>
      <c r="S14" s="60">
        <v>0.03297290103112842</v>
      </c>
      <c r="T14" s="60">
        <v>0.06759444711381322</v>
      </c>
      <c r="U14" s="61">
        <v>0.09672050969131</v>
      </c>
      <c r="V14" s="60">
        <v>0.04890980319617385</v>
      </c>
    </row>
    <row r="15" spans="1:22" ht="15.75">
      <c r="A15" t="s">
        <v>104</v>
      </c>
      <c r="B15" t="s">
        <v>73</v>
      </c>
      <c r="C15">
        <v>20.6483333333333</v>
      </c>
      <c r="D15">
        <v>0.49</v>
      </c>
      <c r="E15">
        <v>0.65</v>
      </c>
      <c r="F15">
        <v>0.94</v>
      </c>
      <c r="H15" t="s">
        <v>105</v>
      </c>
      <c r="I15">
        <v>2</v>
      </c>
      <c r="L15" s="62"/>
      <c r="M15" s="53"/>
      <c r="N15" t="s">
        <v>81</v>
      </c>
      <c r="O15" s="53" t="s">
        <v>83</v>
      </c>
      <c r="P15" s="63">
        <v>602.6281567932281</v>
      </c>
      <c r="Q15" s="56">
        <v>17</v>
      </c>
      <c r="R15" s="58">
        <v>0.017381571506483968</v>
      </c>
      <c r="S15" s="58">
        <v>0.10562647300094105</v>
      </c>
      <c r="T15" s="58">
        <v>0.21526407788799376</v>
      </c>
      <c r="U15" s="59">
        <v>0.3008348914583764</v>
      </c>
      <c r="V15" s="58">
        <v>0.17247867110280235</v>
      </c>
    </row>
    <row r="16" spans="1:22" ht="15.75">
      <c r="A16" t="s">
        <v>106</v>
      </c>
      <c r="B16" t="s">
        <v>107</v>
      </c>
      <c r="C16">
        <v>16.3525</v>
      </c>
      <c r="D16">
        <v>0.52</v>
      </c>
      <c r="E16">
        <v>0.76</v>
      </c>
      <c r="F16">
        <v>1.13</v>
      </c>
      <c r="H16" t="s">
        <v>103</v>
      </c>
      <c r="I16">
        <v>2</v>
      </c>
      <c r="L16" s="62"/>
      <c r="M16" s="55"/>
      <c r="N16" t="s">
        <v>81</v>
      </c>
      <c r="O16" s="55" t="s">
        <v>87</v>
      </c>
      <c r="P16" s="63">
        <v>711.5785900197222</v>
      </c>
      <c r="Q16" s="57">
        <v>22.6</v>
      </c>
      <c r="R16" s="60">
        <v>0.01780865852267019</v>
      </c>
      <c r="S16" s="60">
        <v>0.1080391950375325</v>
      </c>
      <c r="T16" s="60">
        <v>0.22320185348413307</v>
      </c>
      <c r="U16" s="61">
        <v>0.31580687780201805</v>
      </c>
      <c r="V16" s="60">
        <v>0.20895492666599688</v>
      </c>
    </row>
    <row r="17" spans="1:22" ht="15.75">
      <c r="A17" t="s">
        <v>108</v>
      </c>
      <c r="B17" t="s">
        <v>101</v>
      </c>
      <c r="C17">
        <v>34.815</v>
      </c>
      <c r="D17">
        <v>0.51</v>
      </c>
      <c r="E17">
        <v>0.65</v>
      </c>
      <c r="F17">
        <v>0.95</v>
      </c>
      <c r="H17" t="s">
        <v>93</v>
      </c>
      <c r="I17">
        <v>2</v>
      </c>
      <c r="L17" s="62"/>
      <c r="M17" s="53"/>
      <c r="N17" t="s">
        <v>81</v>
      </c>
      <c r="O17" s="53" t="s">
        <v>91</v>
      </c>
      <c r="P17" s="63">
        <v>174.3662462558675</v>
      </c>
      <c r="Q17" s="56">
        <v>8.3</v>
      </c>
      <c r="R17" s="58">
        <v>0.011885968846672037</v>
      </c>
      <c r="S17" s="58">
        <v>0.07369300684936662</v>
      </c>
      <c r="T17" s="58">
        <v>0.153725197083625</v>
      </c>
      <c r="U17" s="59">
        <v>0.21949422470187696</v>
      </c>
      <c r="V17" s="58">
        <v>0.2171170309325426</v>
      </c>
    </row>
    <row r="18" spans="1:22" ht="15.75">
      <c r="A18" t="s">
        <v>109</v>
      </c>
      <c r="B18" t="s">
        <v>95</v>
      </c>
      <c r="C18">
        <v>9.665</v>
      </c>
      <c r="D18">
        <v>0.536</v>
      </c>
      <c r="E18">
        <v>0.674</v>
      </c>
      <c r="F18">
        <v>1.002</v>
      </c>
      <c r="H18" t="s">
        <v>110</v>
      </c>
      <c r="I18">
        <v>3</v>
      </c>
      <c r="L18" s="62"/>
      <c r="M18" s="55"/>
      <c r="N18" t="s">
        <v>85</v>
      </c>
      <c r="O18" s="55" t="s">
        <v>74</v>
      </c>
      <c r="P18" s="63">
        <v>2307.2170607228804</v>
      </c>
      <c r="Q18" s="57">
        <v>34</v>
      </c>
      <c r="R18" s="60">
        <v>0</v>
      </c>
      <c r="S18" s="60">
        <v>0.014688898291571944</v>
      </c>
      <c r="T18" s="60">
        <v>0.06365189259681175</v>
      </c>
      <c r="U18" s="61">
        <v>0.22033347437357922</v>
      </c>
      <c r="V18" s="60">
        <v>0.31336316355353516</v>
      </c>
    </row>
    <row r="19" spans="1:22" ht="15.75">
      <c r="A19" t="s">
        <v>111</v>
      </c>
      <c r="B19" t="s">
        <v>73</v>
      </c>
      <c r="C19">
        <v>18.075</v>
      </c>
      <c r="D19">
        <v>0.5</v>
      </c>
      <c r="E19">
        <v>0.766</v>
      </c>
      <c r="F19">
        <v>1.118</v>
      </c>
      <c r="H19" t="s">
        <v>107</v>
      </c>
      <c r="I19">
        <v>2</v>
      </c>
      <c r="K19">
        <f>6.4/0.3048</f>
        <v>20.99737532808399</v>
      </c>
      <c r="L19" s="62"/>
      <c r="M19" s="53"/>
      <c r="N19" t="s">
        <v>85</v>
      </c>
      <c r="O19" s="53" t="s">
        <v>79</v>
      </c>
      <c r="P19" s="63">
        <v>93.31315579325083</v>
      </c>
      <c r="Q19" s="56">
        <v>6.4</v>
      </c>
      <c r="R19" s="58">
        <v>0</v>
      </c>
      <c r="S19" s="58">
        <v>0.0021011303167887884</v>
      </c>
      <c r="T19" s="58">
        <v>0.010505651583943941</v>
      </c>
      <c r="U19" s="59">
        <v>0.03676978054380381</v>
      </c>
      <c r="V19" s="58">
        <v>0.04202260633577581</v>
      </c>
    </row>
    <row r="20" spans="1:22" ht="15.75">
      <c r="A20" t="s">
        <v>112</v>
      </c>
      <c r="B20" t="s">
        <v>107</v>
      </c>
      <c r="C20">
        <v>65.4008333333333</v>
      </c>
      <c r="D20">
        <v>0.78</v>
      </c>
      <c r="E20">
        <v>1.1</v>
      </c>
      <c r="F20">
        <v>1.63</v>
      </c>
      <c r="K20">
        <f>3.14*K19*K19</f>
        <v>1384.3938798988709</v>
      </c>
      <c r="L20" s="62"/>
      <c r="M20" s="55"/>
      <c r="N20" t="s">
        <v>85</v>
      </c>
      <c r="O20" s="55" t="s">
        <v>83</v>
      </c>
      <c r="P20" s="63">
        <v>615.7521601035994</v>
      </c>
      <c r="Q20" s="57">
        <v>17</v>
      </c>
      <c r="R20" s="60">
        <v>0</v>
      </c>
      <c r="S20" s="60">
        <v>0.005221628098224359</v>
      </c>
      <c r="T20" s="60">
        <v>0.02871895454023397</v>
      </c>
      <c r="U20" s="61">
        <v>0.09137849171892631</v>
      </c>
      <c r="V20" s="60">
        <v>0.14620558675028225</v>
      </c>
    </row>
    <row r="21" spans="1:22" ht="15.75">
      <c r="A21" t="s">
        <v>113</v>
      </c>
      <c r="B21" t="s">
        <v>101</v>
      </c>
      <c r="C21">
        <v>31.335</v>
      </c>
      <c r="D21">
        <v>0.55</v>
      </c>
      <c r="E21">
        <v>0.73</v>
      </c>
      <c r="F21">
        <v>1.048</v>
      </c>
      <c r="L21" s="62"/>
      <c r="M21" s="53"/>
      <c r="N21" t="s">
        <v>85</v>
      </c>
      <c r="O21" s="53" t="s">
        <v>87</v>
      </c>
      <c r="P21" s="63">
        <v>711.5785900197222</v>
      </c>
      <c r="Q21" s="56">
        <v>22.6</v>
      </c>
      <c r="R21" s="58">
        <v>0</v>
      </c>
      <c r="S21" s="58">
        <v>0.006808920868927408</v>
      </c>
      <c r="T21" s="58">
        <v>0.03177496405499456</v>
      </c>
      <c r="U21" s="59">
        <v>0.10894273390283853</v>
      </c>
      <c r="V21" s="58">
        <v>0.1724926620128278</v>
      </c>
    </row>
    <row r="22" spans="1:22" ht="15.75">
      <c r="A22" t="s">
        <v>114</v>
      </c>
      <c r="B22" t="s">
        <v>82</v>
      </c>
      <c r="C22">
        <v>13.4633333333333</v>
      </c>
      <c r="D22">
        <v>0.28</v>
      </c>
      <c r="E22">
        <v>0.34</v>
      </c>
      <c r="F22">
        <v>0.47</v>
      </c>
      <c r="L22" s="62"/>
      <c r="M22" s="55"/>
      <c r="N22" t="s">
        <v>85</v>
      </c>
      <c r="O22" s="55" t="s">
        <v>91</v>
      </c>
      <c r="P22" s="63">
        <v>149.57122623741006</v>
      </c>
      <c r="Q22" s="57">
        <v>7.7</v>
      </c>
      <c r="R22" s="60">
        <v>0</v>
      </c>
      <c r="S22" s="60">
        <v>0.004212321602230113</v>
      </c>
      <c r="T22" s="60">
        <v>0.019657500810407194</v>
      </c>
      <c r="U22" s="61">
        <v>0.0688012528364252</v>
      </c>
      <c r="V22" s="60">
        <v>0.12917786246839025</v>
      </c>
    </row>
    <row r="23" spans="1:22" ht="15.75">
      <c r="A23" t="s">
        <v>115</v>
      </c>
      <c r="B23" t="s">
        <v>105</v>
      </c>
      <c r="C23">
        <v>38.1958333333333</v>
      </c>
      <c r="D23">
        <v>0.48</v>
      </c>
      <c r="E23">
        <v>0.63</v>
      </c>
      <c r="F23">
        <v>0.853000000000001</v>
      </c>
      <c r="L23" s="62"/>
      <c r="M23" s="53"/>
      <c r="N23" s="52" t="s">
        <v>89</v>
      </c>
      <c r="O23" s="53" t="s">
        <v>74</v>
      </c>
      <c r="P23" s="63">
        <v>2454.22003496598</v>
      </c>
      <c r="Q23" s="56">
        <v>38.7</v>
      </c>
      <c r="R23" s="58">
        <v>0.02510723824209058</v>
      </c>
      <c r="S23" s="58">
        <v>0.10775189745563876</v>
      </c>
      <c r="T23" s="58">
        <v>0.18411974710866427</v>
      </c>
      <c r="U23" s="59">
        <v>0.23747262837310673</v>
      </c>
      <c r="V23" s="58">
        <v>0.12449005628369891</v>
      </c>
    </row>
    <row r="24" spans="1:22" ht="15.75">
      <c r="A24" t="s">
        <v>116</v>
      </c>
      <c r="B24" t="s">
        <v>105</v>
      </c>
      <c r="C24">
        <v>51.995</v>
      </c>
      <c r="D24">
        <v>0.69</v>
      </c>
      <c r="E24">
        <v>0.92</v>
      </c>
      <c r="F24">
        <v>1.362</v>
      </c>
      <c r="L24" s="62"/>
      <c r="M24" s="55"/>
      <c r="N24" s="52" t="s">
        <v>89</v>
      </c>
      <c r="O24" s="55" t="s">
        <v>79</v>
      </c>
      <c r="P24" s="63">
        <v>789.2387604164618</v>
      </c>
      <c r="Q24" s="57">
        <v>22.6</v>
      </c>
      <c r="R24" s="60">
        <v>0.017271360710340317</v>
      </c>
      <c r="S24" s="60">
        <v>0.07829683522020942</v>
      </c>
      <c r="T24" s="60">
        <v>0.14047373377743452</v>
      </c>
      <c r="U24" s="61">
        <v>0.1836521355532853</v>
      </c>
      <c r="V24" s="60">
        <v>0.24870759422890057</v>
      </c>
    </row>
    <row r="25" spans="1:22" ht="15.75">
      <c r="A25" t="s">
        <v>117</v>
      </c>
      <c r="B25" t="s">
        <v>86</v>
      </c>
      <c r="C25">
        <v>6.76333333333333</v>
      </c>
      <c r="D25">
        <v>0.32</v>
      </c>
      <c r="E25">
        <v>0.45</v>
      </c>
      <c r="F25">
        <v>0.597</v>
      </c>
      <c r="L25" s="62"/>
      <c r="M25" s="53"/>
      <c r="N25" s="52" t="s">
        <v>89</v>
      </c>
      <c r="O25" s="53" t="s">
        <v>83</v>
      </c>
      <c r="P25" s="63">
        <v>646.9246132088441</v>
      </c>
      <c r="Q25" s="56">
        <v>14.1</v>
      </c>
      <c r="R25" s="58">
        <v>0.01817053527654189</v>
      </c>
      <c r="S25" s="58">
        <v>0.06889661292355467</v>
      </c>
      <c r="T25" s="58">
        <v>0.11735137366099967</v>
      </c>
      <c r="U25" s="59">
        <v>0.14536428221233513</v>
      </c>
      <c r="V25" s="58">
        <v>0.12113690184361271</v>
      </c>
    </row>
    <row r="26" spans="1:22" ht="15.75">
      <c r="A26" t="s">
        <v>118</v>
      </c>
      <c r="B26" t="s">
        <v>86</v>
      </c>
      <c r="C26">
        <v>15.115</v>
      </c>
      <c r="D26">
        <v>0.34</v>
      </c>
      <c r="E26">
        <v>0.438</v>
      </c>
      <c r="F26">
        <v>0.57</v>
      </c>
      <c r="L26" s="62"/>
      <c r="M26" s="55"/>
      <c r="N26" s="52" t="s">
        <v>89</v>
      </c>
      <c r="O26" s="55" t="s">
        <v>87</v>
      </c>
      <c r="P26" s="63">
        <v>774.371173183348</v>
      </c>
      <c r="Q26" s="57">
        <v>24.1</v>
      </c>
      <c r="R26" s="60">
        <v>0.014836257089495179</v>
      </c>
      <c r="S26" s="60">
        <v>0.06623329057810348</v>
      </c>
      <c r="T26" s="60">
        <v>0.1165705914174621</v>
      </c>
      <c r="U26" s="61">
        <v>0.14995216986882626</v>
      </c>
      <c r="V26" s="60">
        <v>0.11604072509283715</v>
      </c>
    </row>
    <row r="27" spans="1:22" ht="15.75">
      <c r="A27" t="s">
        <v>119</v>
      </c>
      <c r="B27" t="s">
        <v>95</v>
      </c>
      <c r="C27">
        <v>17.1791666666667</v>
      </c>
      <c r="D27">
        <v>0.51</v>
      </c>
      <c r="E27">
        <v>0.65</v>
      </c>
      <c r="F27">
        <v>0.92</v>
      </c>
      <c r="L27" s="62"/>
      <c r="M27" s="53"/>
      <c r="N27" s="52" t="s">
        <v>89</v>
      </c>
      <c r="O27" s="53" t="s">
        <v>91</v>
      </c>
      <c r="P27" s="63">
        <v>22.061834409834322</v>
      </c>
      <c r="Q27" s="56">
        <v>3.8</v>
      </c>
      <c r="R27" s="58">
        <v>0.00288886450781769</v>
      </c>
      <c r="S27" s="58">
        <v>0.013096185768773526</v>
      </c>
      <c r="T27" s="58">
        <v>0.023110916062541516</v>
      </c>
      <c r="U27" s="59">
        <v>0.030140486364897894</v>
      </c>
      <c r="V27" s="58">
        <v>0.03418489667584264</v>
      </c>
    </row>
    <row r="28" spans="1:22" ht="15.75">
      <c r="A28" t="s">
        <v>120</v>
      </c>
      <c r="B28" t="s">
        <v>103</v>
      </c>
      <c r="C28">
        <v>41.0316666666667</v>
      </c>
      <c r="D28">
        <v>0.43</v>
      </c>
      <c r="E28">
        <v>0.57</v>
      </c>
      <c r="F28">
        <v>0.82</v>
      </c>
      <c r="L28" s="62"/>
      <c r="M28" s="55"/>
      <c r="N28" s="54" t="s">
        <v>92</v>
      </c>
      <c r="O28" s="55" t="s">
        <v>74</v>
      </c>
      <c r="P28" s="63">
        <v>1787.0085871965805</v>
      </c>
      <c r="Q28" s="57">
        <v>31.3</v>
      </c>
      <c r="R28" s="60">
        <v>0.06852473741781248</v>
      </c>
      <c r="S28" s="60">
        <v>0.24355177756933352</v>
      </c>
      <c r="T28" s="60">
        <v>0.38225245089695403</v>
      </c>
      <c r="U28" s="61">
        <v>0.47967316192468734</v>
      </c>
      <c r="V28" s="60">
        <v>0.28152934288522996</v>
      </c>
    </row>
    <row r="29" spans="1:22" ht="15.75">
      <c r="A29" t="s">
        <v>121</v>
      </c>
      <c r="B29" t="s">
        <v>97</v>
      </c>
      <c r="C29">
        <v>42.4933333333333</v>
      </c>
      <c r="D29">
        <v>0.63</v>
      </c>
      <c r="E29">
        <v>0.87</v>
      </c>
      <c r="F29">
        <v>1.314</v>
      </c>
      <c r="L29" s="62"/>
      <c r="M29" s="53"/>
      <c r="N29" s="54" t="s">
        <v>92</v>
      </c>
      <c r="O29" s="53" t="s">
        <v>79</v>
      </c>
      <c r="P29" s="63">
        <v>934.8201639838128</v>
      </c>
      <c r="Q29" s="56">
        <v>17.4</v>
      </c>
      <c r="R29" s="58">
        <v>0.05442082027313208</v>
      </c>
      <c r="S29" s="58">
        <v>0.17647894574287115</v>
      </c>
      <c r="T29" s="58">
        <v>0.26977178049681194</v>
      </c>
      <c r="U29" s="59">
        <v>0.33585420511418645</v>
      </c>
      <c r="V29" s="58">
        <v>0.12672276720743633</v>
      </c>
    </row>
    <row r="30" spans="1:22" ht="15.75">
      <c r="A30" t="s">
        <v>122</v>
      </c>
      <c r="B30" t="s">
        <v>105</v>
      </c>
      <c r="C30">
        <v>40.6516666666667</v>
      </c>
      <c r="D30">
        <v>0.49</v>
      </c>
      <c r="E30">
        <v>0.626</v>
      </c>
      <c r="F30">
        <v>0.9</v>
      </c>
      <c r="L30" s="62"/>
      <c r="M30" s="55"/>
      <c r="N30" s="54" t="s">
        <v>92</v>
      </c>
      <c r="O30" s="55" t="s">
        <v>83</v>
      </c>
      <c r="P30" s="63">
        <v>633.4707426698459</v>
      </c>
      <c r="Q30" s="57">
        <v>13.8</v>
      </c>
      <c r="R30" s="60">
        <v>0.03454179110606986</v>
      </c>
      <c r="S30" s="60">
        <v>0.11358935152188356</v>
      </c>
      <c r="T30" s="60">
        <v>0.16805909903530136</v>
      </c>
      <c r="U30" s="61">
        <v>0.20592221620926254</v>
      </c>
      <c r="V30" s="60">
        <v>0.09963978203673995</v>
      </c>
    </row>
    <row r="31" spans="1:22" ht="15.75">
      <c r="A31" t="s">
        <v>123</v>
      </c>
      <c r="B31" t="s">
        <v>78</v>
      </c>
      <c r="C31">
        <v>50.195</v>
      </c>
      <c r="D31">
        <v>0.8</v>
      </c>
      <c r="E31">
        <v>1.148</v>
      </c>
      <c r="F31">
        <v>1.68</v>
      </c>
      <c r="L31" s="62"/>
      <c r="M31" s="53"/>
      <c r="N31" s="54" t="s">
        <v>92</v>
      </c>
      <c r="O31" s="53" t="s">
        <v>87</v>
      </c>
      <c r="P31" s="63">
        <v>749.9060203935176</v>
      </c>
      <c r="Q31" s="56">
        <v>23.5</v>
      </c>
      <c r="R31" s="58">
        <v>0.036000900013485285</v>
      </c>
      <c r="S31" s="58">
        <v>0.12508005004685266</v>
      </c>
      <c r="T31" s="58">
        <v>0.19385100007261308</v>
      </c>
      <c r="U31" s="59">
        <v>0.23908290008955607</v>
      </c>
      <c r="V31" s="58">
        <v>0.0969255000363066</v>
      </c>
    </row>
    <row r="32" spans="1:22" ht="15.75">
      <c r="A32" t="s">
        <v>124</v>
      </c>
      <c r="B32" t="s">
        <v>93</v>
      </c>
      <c r="C32">
        <v>40.5525</v>
      </c>
      <c r="D32">
        <v>0.619</v>
      </c>
      <c r="E32">
        <v>0.81</v>
      </c>
      <c r="F32">
        <v>1.17</v>
      </c>
      <c r="L32" s="62"/>
      <c r="M32" s="55"/>
      <c r="N32" s="54" t="s">
        <v>92</v>
      </c>
      <c r="O32" s="55" t="s">
        <v>91</v>
      </c>
      <c r="P32" s="63">
        <v>356.3272927517884</v>
      </c>
      <c r="Q32" s="57">
        <v>13.7</v>
      </c>
      <c r="R32" s="60">
        <v>0.03344595839899813</v>
      </c>
      <c r="S32" s="60">
        <v>0.12250991503453247</v>
      </c>
      <c r="T32" s="60">
        <v>0.1976693721109328</v>
      </c>
      <c r="U32" s="61">
        <v>0.25215997849132293</v>
      </c>
      <c r="V32" s="60">
        <v>0.16309602185578878</v>
      </c>
    </row>
    <row r="33" spans="1:22" ht="15.75">
      <c r="A33" t="s">
        <v>125</v>
      </c>
      <c r="B33" t="s">
        <v>97</v>
      </c>
      <c r="C33">
        <v>35.96</v>
      </c>
      <c r="D33">
        <v>0.74</v>
      </c>
      <c r="E33">
        <v>1.026</v>
      </c>
      <c r="F33">
        <v>1.466</v>
      </c>
      <c r="L33" s="62"/>
      <c r="M33" s="53"/>
      <c r="N33" s="52" t="s">
        <v>94</v>
      </c>
      <c r="O33" s="53" t="s">
        <v>74</v>
      </c>
      <c r="P33" s="63">
        <v>2206.1834409834323</v>
      </c>
      <c r="Q33" s="56">
        <v>32.5</v>
      </c>
      <c r="R33" s="58">
        <v>0</v>
      </c>
      <c r="S33" s="58">
        <v>0.02068606471371666</v>
      </c>
      <c r="T33" s="58">
        <v>0.0724012264980083</v>
      </c>
      <c r="U33" s="59">
        <v>0.12411638828229993</v>
      </c>
      <c r="V33" s="58">
        <v>0.43785503644033585</v>
      </c>
    </row>
    <row r="34" spans="12:22" ht="15.75">
      <c r="L34" s="62"/>
      <c r="M34" s="55"/>
      <c r="N34" s="52" t="s">
        <v>94</v>
      </c>
      <c r="O34" s="55" t="s">
        <v>79</v>
      </c>
      <c r="P34" s="63">
        <v>88.24733763933729</v>
      </c>
      <c r="Q34" s="57">
        <v>6</v>
      </c>
      <c r="R34" s="60">
        <v>0</v>
      </c>
      <c r="S34" s="60">
        <v>0.004481980687971943</v>
      </c>
      <c r="T34" s="60">
        <v>0.014192938845244488</v>
      </c>
      <c r="U34" s="61">
        <v>0.023903897002517032</v>
      </c>
      <c r="V34" s="60">
        <v>0.057518752162306584</v>
      </c>
    </row>
    <row r="35" spans="12:22" ht="15.75">
      <c r="L35" s="62"/>
      <c r="M35" s="53"/>
      <c r="N35" s="52" t="s">
        <v>94</v>
      </c>
      <c r="O35" s="53" t="s">
        <v>83</v>
      </c>
      <c r="P35" s="63">
        <v>602.6281567932281</v>
      </c>
      <c r="Q35" s="56">
        <v>17</v>
      </c>
      <c r="R35" s="58">
        <v>0</v>
      </c>
      <c r="S35" s="58">
        <v>0.009000588622494511</v>
      </c>
      <c r="T35" s="58">
        <v>0.03060200131648135</v>
      </c>
      <c r="U35" s="59">
        <v>0.05220341401046818</v>
      </c>
      <c r="V35" s="58">
        <v>0.1998130674193781</v>
      </c>
    </row>
    <row r="36" spans="12:22" ht="15.75">
      <c r="L36" s="62"/>
      <c r="M36" s="55"/>
      <c r="N36" s="52" t="s">
        <v>94</v>
      </c>
      <c r="O36" s="55" t="s">
        <v>87</v>
      </c>
      <c r="P36" s="63">
        <v>611.3617843702077</v>
      </c>
      <c r="Q36" s="57">
        <v>20.2</v>
      </c>
      <c r="R36" s="60">
        <v>0</v>
      </c>
      <c r="S36" s="60">
        <v>0.009219400224840125</v>
      </c>
      <c r="T36" s="60">
        <v>0.03380446749108046</v>
      </c>
      <c r="U36" s="61">
        <v>0.0583895347573208</v>
      </c>
      <c r="V36" s="60">
        <v>0.24738723936654328</v>
      </c>
    </row>
    <row r="37" spans="12:22" ht="15.75">
      <c r="L37" s="62"/>
      <c r="M37" s="53"/>
      <c r="N37" s="52" t="s">
        <v>94</v>
      </c>
      <c r="O37" s="53" t="s">
        <v>91</v>
      </c>
      <c r="P37" s="63">
        <v>169.71668912855458</v>
      </c>
      <c r="Q37" s="56">
        <v>8.2</v>
      </c>
      <c r="R37" s="58">
        <v>0</v>
      </c>
      <c r="S37" s="58">
        <v>0.0063089685467248744</v>
      </c>
      <c r="T37" s="58">
        <v>0.024184379429112023</v>
      </c>
      <c r="U37" s="59">
        <v>0.043111285069286645</v>
      </c>
      <c r="V37" s="58">
        <v>0.24394678380669504</v>
      </c>
    </row>
    <row r="38" spans="12:22" ht="15.75">
      <c r="L38" s="62"/>
      <c r="M38" s="55"/>
      <c r="N38" s="54" t="s">
        <v>96</v>
      </c>
      <c r="O38" s="55" t="s">
        <v>74</v>
      </c>
      <c r="P38" s="63">
        <v>855.2985999398212</v>
      </c>
      <c r="Q38" s="57">
        <v>16</v>
      </c>
      <c r="R38" s="60">
        <v>0.01745328772048372</v>
      </c>
      <c r="S38" s="60">
        <v>0.09657485872000991</v>
      </c>
      <c r="T38" s="60">
        <v>0.20129458504291226</v>
      </c>
      <c r="U38" s="61">
        <v>0.28507036610123415</v>
      </c>
      <c r="V38" s="60">
        <v>0.18267774480772964</v>
      </c>
    </row>
    <row r="39" spans="12:22" ht="15.75">
      <c r="L39" s="62"/>
      <c r="M39" s="53"/>
      <c r="N39" s="54" t="s">
        <v>96</v>
      </c>
      <c r="O39" s="53" t="s">
        <v>79</v>
      </c>
      <c r="P39" s="63">
        <v>978.6767974279261</v>
      </c>
      <c r="Q39" s="56">
        <v>18</v>
      </c>
      <c r="R39" s="58">
        <v>0.022481001201892212</v>
      </c>
      <c r="S39" s="58">
        <v>0.1218706907260472</v>
      </c>
      <c r="T39" s="58">
        <v>0.24847422381038756</v>
      </c>
      <c r="U39" s="59">
        <v>0.35377996628240893</v>
      </c>
      <c r="V39" s="58">
        <v>0.27923769913929264</v>
      </c>
    </row>
    <row r="40" spans="12:22" ht="15.75">
      <c r="L40" s="62"/>
      <c r="M40" s="55"/>
      <c r="N40" s="54" t="s">
        <v>96</v>
      </c>
      <c r="O40" s="55" t="s">
        <v>83</v>
      </c>
      <c r="P40" s="63">
        <v>122.7184630308513</v>
      </c>
      <c r="Q40" s="57">
        <v>3.1</v>
      </c>
      <c r="R40" s="60">
        <v>0.006891095281397858</v>
      </c>
      <c r="S40" s="60">
        <v>0.036178250227338754</v>
      </c>
      <c r="T40" s="60">
        <v>0.07321788736485227</v>
      </c>
      <c r="U40" s="61">
        <v>0.1033664292209679</v>
      </c>
      <c r="V40" s="60">
        <v>0.08613869101747325</v>
      </c>
    </row>
    <row r="41" spans="12:22" ht="15.75">
      <c r="L41" s="62"/>
      <c r="M41" s="53"/>
      <c r="N41" s="54" t="s">
        <v>96</v>
      </c>
      <c r="O41" s="53" t="s">
        <v>87</v>
      </c>
      <c r="P41" s="63">
        <v>779.311327631118</v>
      </c>
      <c r="Q41" s="56">
        <v>17.1</v>
      </c>
      <c r="R41" s="58">
        <v>0.017845506183100532</v>
      </c>
      <c r="S41" s="58">
        <v>0.09715886699688066</v>
      </c>
      <c r="T41" s="58">
        <v>0.1963005680141058</v>
      </c>
      <c r="U41" s="59">
        <v>0.2775967628482305</v>
      </c>
      <c r="V41" s="58">
        <v>0.18341214688186638</v>
      </c>
    </row>
    <row r="42" spans="12:22" ht="15.75">
      <c r="L42" s="62"/>
      <c r="M42" s="55"/>
      <c r="N42" s="54" t="s">
        <v>96</v>
      </c>
      <c r="O42" s="55" t="s">
        <v>91</v>
      </c>
      <c r="P42" s="63">
        <v>339.79466141227203</v>
      </c>
      <c r="Q42" s="57">
        <v>13.3</v>
      </c>
      <c r="R42" s="60">
        <v>0.012230932402758857</v>
      </c>
      <c r="S42" s="60">
        <v>0.07338559441655314</v>
      </c>
      <c r="T42" s="60">
        <v>0.15177475208878036</v>
      </c>
      <c r="U42" s="61">
        <v>0.21682107441254336</v>
      </c>
      <c r="V42" s="60">
        <v>0.2535138716208199</v>
      </c>
    </row>
    <row r="43" spans="12:22" ht="15.75">
      <c r="L43" s="62"/>
      <c r="M43" s="53"/>
      <c r="N43" s="52" t="s">
        <v>98</v>
      </c>
      <c r="O43" s="53" t="s">
        <v>74</v>
      </c>
      <c r="P43" s="63">
        <v>2516.0701403335293</v>
      </c>
      <c r="Q43" s="56">
        <v>39</v>
      </c>
      <c r="R43" s="58">
        <v>0.12890449150541386</v>
      </c>
      <c r="S43" s="58">
        <v>0.2216252660970273</v>
      </c>
      <c r="T43" s="58">
        <v>0.280423806081953</v>
      </c>
      <c r="U43" s="59">
        <v>0.289469735310403</v>
      </c>
      <c r="V43" s="58">
        <v>0.13342745611963885</v>
      </c>
    </row>
    <row r="44" spans="12:22" ht="15.75">
      <c r="L44" s="62"/>
      <c r="M44" s="55"/>
      <c r="N44" s="52" t="s">
        <v>98</v>
      </c>
      <c r="O44" s="55" t="s">
        <v>79</v>
      </c>
      <c r="P44" s="63">
        <v>789.2387604164618</v>
      </c>
      <c r="Q44" s="57">
        <v>22.6</v>
      </c>
      <c r="R44" s="60">
        <v>0.07832589935266267</v>
      </c>
      <c r="S44" s="60">
        <v>0.16521869394702285</v>
      </c>
      <c r="T44" s="60">
        <v>0.22885848717106125</v>
      </c>
      <c r="U44" s="61">
        <v>0.2545591728961537</v>
      </c>
      <c r="V44" s="60">
        <v>0.2557830150735388</v>
      </c>
    </row>
    <row r="45" spans="12:22" ht="15.75">
      <c r="L45" s="62"/>
      <c r="M45" s="53"/>
      <c r="N45" s="52" t="s">
        <v>98</v>
      </c>
      <c r="O45" s="53" t="s">
        <v>83</v>
      </c>
      <c r="P45" s="63">
        <v>655.9724000511827</v>
      </c>
      <c r="Q45" s="56">
        <v>14.4</v>
      </c>
      <c r="R45" s="58">
        <v>0.09106338356139017</v>
      </c>
      <c r="S45" s="58">
        <v>0.15976032203752658</v>
      </c>
      <c r="T45" s="58">
        <v>0.20129800576728352</v>
      </c>
      <c r="U45" s="59">
        <v>0.19970040254690827</v>
      </c>
      <c r="V45" s="58">
        <v>0.12780825763002085</v>
      </c>
    </row>
    <row r="46" spans="12:22" ht="15.75">
      <c r="L46" s="62"/>
      <c r="M46" s="55"/>
      <c r="N46" s="52" t="s">
        <v>98</v>
      </c>
      <c r="O46" s="55" t="s">
        <v>87</v>
      </c>
      <c r="P46" s="63">
        <v>660.519855417254</v>
      </c>
      <c r="Q46" s="57">
        <v>21.8</v>
      </c>
      <c r="R46" s="60">
        <v>0.06693729967303101</v>
      </c>
      <c r="S46" s="60">
        <v>0.13281210252585524</v>
      </c>
      <c r="T46" s="60">
        <v>0.18062445943516306</v>
      </c>
      <c r="U46" s="61">
        <v>0.19549941491805883</v>
      </c>
      <c r="V46" s="60">
        <v>0.13387459934606188</v>
      </c>
    </row>
    <row r="47" spans="12:22" ht="15.75">
      <c r="L47" s="62"/>
      <c r="M47" s="53"/>
      <c r="N47" s="52" t="s">
        <v>98</v>
      </c>
      <c r="O47" s="53" t="s">
        <v>91</v>
      </c>
      <c r="P47" s="63">
        <v>22.061834409834322</v>
      </c>
      <c r="Q47" s="56">
        <v>3.8</v>
      </c>
      <c r="R47" s="58">
        <v>0.012896343269585971</v>
      </c>
      <c r="S47" s="58">
        <v>0.027225613569125937</v>
      </c>
      <c r="T47" s="58">
        <v>0.03746080664022592</v>
      </c>
      <c r="U47" s="59">
        <v>0.04135018000724391</v>
      </c>
      <c r="V47" s="58">
        <v>0.03541376802600586</v>
      </c>
    </row>
    <row r="48" spans="12:22" ht="15.75">
      <c r="L48" s="62"/>
      <c r="M48" s="55"/>
      <c r="N48" s="54" t="s">
        <v>99</v>
      </c>
      <c r="O48" s="55" t="s">
        <v>74</v>
      </c>
      <c r="P48" s="63">
        <v>1832.247521408273</v>
      </c>
      <c r="Q48" s="57">
        <v>32</v>
      </c>
      <c r="R48" s="60">
        <v>0.06870126183430693</v>
      </c>
      <c r="S48" s="60">
        <v>0.28854529970408915</v>
      </c>
      <c r="T48" s="60">
        <v>0.48365688331352086</v>
      </c>
      <c r="U48" s="61">
        <v>0.6224334322188209</v>
      </c>
      <c r="V48" s="60">
        <v>0.3270180063313009</v>
      </c>
    </row>
    <row r="49" spans="12:22" ht="15.75">
      <c r="L49" s="62"/>
      <c r="M49" s="53"/>
      <c r="N49" s="54" t="s">
        <v>99</v>
      </c>
      <c r="O49" s="53" t="s">
        <v>79</v>
      </c>
      <c r="P49" s="63">
        <v>984.2295624431462</v>
      </c>
      <c r="Q49" s="56">
        <v>18</v>
      </c>
      <c r="R49" s="58">
        <v>0.04593751480573338</v>
      </c>
      <c r="S49" s="58">
        <v>0.2126250685293945</v>
      </c>
      <c r="T49" s="58">
        <v>0.3622501167537832</v>
      </c>
      <c r="U49" s="59">
        <v>0.4659376501724386</v>
      </c>
      <c r="V49" s="58">
        <v>0.1456875469553258</v>
      </c>
    </row>
    <row r="50" spans="12:22" ht="15.75">
      <c r="L50" s="62"/>
      <c r="M50" s="55"/>
      <c r="N50" s="54" t="s">
        <v>99</v>
      </c>
      <c r="O50" s="55" t="s">
        <v>83</v>
      </c>
      <c r="P50" s="63">
        <v>784.267190042156</v>
      </c>
      <c r="Q50" s="57">
        <v>16.1</v>
      </c>
      <c r="R50" s="60">
        <v>0.033896414666988624</v>
      </c>
      <c r="S50" s="60">
        <v>0.15779365448425742</v>
      </c>
      <c r="T50" s="60">
        <v>0.27117131733590893</v>
      </c>
      <c r="U50" s="61">
        <v>0.3459771979802978</v>
      </c>
      <c r="V50" s="60">
        <v>0.12039071416206276</v>
      </c>
    </row>
    <row r="51" spans="12:22" ht="15.75">
      <c r="L51" s="62"/>
      <c r="M51" s="53"/>
      <c r="N51" s="54" t="s">
        <v>99</v>
      </c>
      <c r="O51" s="53" t="s">
        <v>87</v>
      </c>
      <c r="P51" s="63">
        <v>1194.5906065275187</v>
      </c>
      <c r="Q51" s="56">
        <v>31</v>
      </c>
      <c r="R51" s="58">
        <v>0.037016135351872925</v>
      </c>
      <c r="S51" s="58">
        <v>0.16472180231583453</v>
      </c>
      <c r="T51" s="58">
        <v>0.2803972252904374</v>
      </c>
      <c r="U51" s="59">
        <v>0.3562803027617769</v>
      </c>
      <c r="V51" s="58">
        <v>0.12215324666118069</v>
      </c>
    </row>
    <row r="52" spans="12:22" ht="15.75">
      <c r="L52" s="62"/>
      <c r="M52" s="55"/>
      <c r="N52" s="54" t="s">
        <v>99</v>
      </c>
      <c r="O52" s="55" t="s">
        <v>91</v>
      </c>
      <c r="P52" s="63">
        <v>397.60782021995817</v>
      </c>
      <c r="Q52" s="57">
        <v>14.9</v>
      </c>
      <c r="R52" s="60">
        <v>0.033967759380261295</v>
      </c>
      <c r="S52" s="60">
        <v>0.14804815880830866</v>
      </c>
      <c r="T52" s="60">
        <v>0.25315594255100393</v>
      </c>
      <c r="U52" s="61">
        <v>0.3262186702745847</v>
      </c>
      <c r="V52" s="60">
        <v>0.19483394059621564</v>
      </c>
    </row>
    <row r="53" spans="12:22" ht="15.75">
      <c r="L53" s="62"/>
      <c r="M53" s="53"/>
      <c r="N53" s="52" t="s">
        <v>100</v>
      </c>
      <c r="O53" s="53" t="s">
        <v>74</v>
      </c>
      <c r="P53" s="63">
        <v>881.4130888727864</v>
      </c>
      <c r="Q53" s="56">
        <v>16.3</v>
      </c>
      <c r="R53" s="58">
        <v>0.061872966782843535</v>
      </c>
      <c r="S53" s="58">
        <v>0.2098828088908222</v>
      </c>
      <c r="T53" s="58">
        <v>0.34333430587342595</v>
      </c>
      <c r="U53" s="59">
        <v>0.4428163308968214</v>
      </c>
      <c r="V53" s="58">
        <v>0.190471682056989</v>
      </c>
    </row>
    <row r="54" spans="12:22" ht="15.75">
      <c r="L54" s="62"/>
      <c r="M54" s="55"/>
      <c r="N54" s="52" t="s">
        <v>100</v>
      </c>
      <c r="O54" s="55" t="s">
        <v>79</v>
      </c>
      <c r="P54" s="63">
        <v>951.1485918008456</v>
      </c>
      <c r="Q54" s="57">
        <v>17.5</v>
      </c>
      <c r="R54" s="60">
        <v>0.08175878082578553</v>
      </c>
      <c r="S54" s="60">
        <v>0.3001889564648244</v>
      </c>
      <c r="T54" s="60">
        <v>0.5027554880630394</v>
      </c>
      <c r="U54" s="61">
        <v>0.6528499662954514</v>
      </c>
      <c r="V54" s="60">
        <v>0.29042671397816383</v>
      </c>
    </row>
    <row r="55" spans="12:22" ht="15.75">
      <c r="L55" s="62"/>
      <c r="M55" s="53"/>
      <c r="N55" s="52" t="s">
        <v>100</v>
      </c>
      <c r="O55" s="53" t="s">
        <v>83</v>
      </c>
      <c r="P55" s="63">
        <v>298.6476516318797</v>
      </c>
      <c r="Q55" s="56">
        <v>8</v>
      </c>
      <c r="R55" s="58">
        <v>0.04099641378371555</v>
      </c>
      <c r="S55" s="58">
        <v>0.13721248694957863</v>
      </c>
      <c r="T55" s="58">
        <v>0.22171529903438014</v>
      </c>
      <c r="U55" s="59">
        <v>0.28111826594547806</v>
      </c>
      <c r="V55" s="58">
        <v>0.14390577899589976</v>
      </c>
    </row>
    <row r="56" spans="12:22" ht="15.75">
      <c r="L56" s="62"/>
      <c r="M56" s="55"/>
      <c r="N56" s="52" t="s">
        <v>100</v>
      </c>
      <c r="O56" s="55" t="s">
        <v>87</v>
      </c>
      <c r="P56" s="63">
        <v>735.4154242788347</v>
      </c>
      <c r="Q56" s="57">
        <v>21.3</v>
      </c>
      <c r="R56" s="60">
        <v>0.06124599015833413</v>
      </c>
      <c r="S56" s="60">
        <v>0.23800656934947576</v>
      </c>
      <c r="T56" s="60">
        <v>0.41089082004958355</v>
      </c>
      <c r="U56" s="61">
        <v>0.5364838631590787</v>
      </c>
      <c r="V56" s="60">
        <v>0.2279281152727879</v>
      </c>
    </row>
    <row r="57" spans="12:22" ht="15.75">
      <c r="L57" s="62"/>
      <c r="M57" s="53"/>
      <c r="N57" s="52" t="s">
        <v>100</v>
      </c>
      <c r="O57" s="53" t="s">
        <v>91</v>
      </c>
      <c r="P57" s="63">
        <v>226.98006922186255</v>
      </c>
      <c r="Q57" s="56">
        <v>19.3</v>
      </c>
      <c r="R57" s="58">
        <v>0.021626336078907932</v>
      </c>
      <c r="S57" s="58">
        <v>0.09257126784995956</v>
      </c>
      <c r="T57" s="58">
        <v>0.16404367123269187</v>
      </c>
      <c r="U57" s="59">
        <v>0.21573588917739867</v>
      </c>
      <c r="V57" s="58">
        <v>0.13318658194937205</v>
      </c>
    </row>
    <row r="58" spans="12:22" ht="15.75">
      <c r="L58" s="62"/>
      <c r="M58" s="55"/>
      <c r="N58" s="54" t="s">
        <v>102</v>
      </c>
      <c r="O58" s="55" t="s">
        <v>74</v>
      </c>
      <c r="P58" s="63">
        <v>814.3322317370104</v>
      </c>
      <c r="Q58" s="57">
        <v>15.8</v>
      </c>
      <c r="R58" s="60">
        <v>0.018775207023367425</v>
      </c>
      <c r="S58" s="60">
        <v>0.07744772897139064</v>
      </c>
      <c r="T58" s="60">
        <v>0.14902820574797893</v>
      </c>
      <c r="U58" s="61">
        <v>0.21356797989080437</v>
      </c>
      <c r="V58" s="60">
        <v>0.15254855706486037</v>
      </c>
    </row>
    <row r="59" spans="12:22" ht="15.75">
      <c r="L59" s="62"/>
      <c r="M59" s="53"/>
      <c r="N59" s="54" t="s">
        <v>102</v>
      </c>
      <c r="O59" s="53" t="s">
        <v>79</v>
      </c>
      <c r="P59" s="63">
        <v>789.2387604164618</v>
      </c>
      <c r="Q59" s="56">
        <v>15.5</v>
      </c>
      <c r="R59" s="58">
        <v>0.018557794501066923</v>
      </c>
      <c r="S59" s="58">
        <v>0.0788706266295345</v>
      </c>
      <c r="T59" s="58">
        <v>0.1507820803211688</v>
      </c>
      <c r="U59" s="59">
        <v>0.215734361074903</v>
      </c>
      <c r="V59" s="58">
        <v>0.16238070188433587</v>
      </c>
    </row>
    <row r="60" spans="12:22" ht="15.75">
      <c r="L60" s="62"/>
      <c r="M60" s="55"/>
      <c r="N60" s="54" t="s">
        <v>102</v>
      </c>
      <c r="O60" s="55" t="s">
        <v>83</v>
      </c>
      <c r="P60" s="63">
        <v>103.86890710931253</v>
      </c>
      <c r="Q60" s="57">
        <v>2.5</v>
      </c>
      <c r="R60" s="60">
        <v>0.009494192831919896</v>
      </c>
      <c r="S60" s="60">
        <v>0.03987560989406357</v>
      </c>
      <c r="T60" s="60">
        <v>0.07595354265535917</v>
      </c>
      <c r="U60" s="61">
        <v>0.10823379828388682</v>
      </c>
      <c r="V60" s="60">
        <v>0.10063844401835113</v>
      </c>
    </row>
    <row r="61" spans="12:22" ht="15.75">
      <c r="L61" s="62"/>
      <c r="M61" s="53"/>
      <c r="N61" s="54" t="s">
        <v>102</v>
      </c>
      <c r="O61" s="53" t="s">
        <v>87</v>
      </c>
      <c r="P61" s="63">
        <v>646.9246132088441</v>
      </c>
      <c r="Q61" s="56">
        <v>21.5</v>
      </c>
      <c r="R61" s="58">
        <v>0.013035121123850245</v>
      </c>
      <c r="S61" s="58">
        <v>0.05831501555406689</v>
      </c>
      <c r="T61" s="58">
        <v>0.11251367706902318</v>
      </c>
      <c r="U61" s="59">
        <v>0.16053780752531352</v>
      </c>
      <c r="V61" s="58">
        <v>0.18317775474042197</v>
      </c>
    </row>
    <row r="62" spans="12:22" ht="15.75">
      <c r="L62" s="62"/>
      <c r="M62" s="55"/>
      <c r="N62" s="54" t="s">
        <v>102</v>
      </c>
      <c r="O62" s="55" t="s">
        <v>91</v>
      </c>
      <c r="P62" s="63">
        <v>153.93804002589985</v>
      </c>
      <c r="Q62" s="57">
        <v>7.8</v>
      </c>
      <c r="R62" s="60">
        <v>0.008106203019320786</v>
      </c>
      <c r="S62" s="60">
        <v>0.03557722436257457</v>
      </c>
      <c r="T62" s="60">
        <v>0.06890272566422666</v>
      </c>
      <c r="U62" s="61">
        <v>0.09772478084403391</v>
      </c>
      <c r="V62" s="60">
        <v>0.0923206454978201</v>
      </c>
    </row>
    <row r="63" spans="12:22" ht="15.75">
      <c r="L63" s="62"/>
      <c r="M63" s="53"/>
      <c r="N63" s="52" t="s">
        <v>104</v>
      </c>
      <c r="O63" s="53" t="s">
        <v>74</v>
      </c>
      <c r="P63" s="63">
        <v>1092.7166107532355</v>
      </c>
      <c r="Q63" s="56">
        <v>19.4</v>
      </c>
      <c r="R63" s="58">
        <v>0.004699617318139496</v>
      </c>
      <c r="S63" s="58">
        <v>0.03289732122697648</v>
      </c>
      <c r="T63" s="58">
        <v>0.09399234636278991</v>
      </c>
      <c r="U63" s="59">
        <v>0.23263105724790512</v>
      </c>
      <c r="V63" s="58">
        <v>0.3900682374055782</v>
      </c>
    </row>
    <row r="64" spans="12:22" ht="15.75">
      <c r="L64" s="62"/>
      <c r="M64" s="55"/>
      <c r="N64" s="52" t="s">
        <v>104</v>
      </c>
      <c r="O64" s="55" t="s">
        <v>79</v>
      </c>
      <c r="P64" s="63">
        <v>174.3662462558675</v>
      </c>
      <c r="Q64" s="57">
        <v>4.4</v>
      </c>
      <c r="R64" s="60">
        <v>0.003303713099033129</v>
      </c>
      <c r="S64" s="60">
        <v>0.021474135143715347</v>
      </c>
      <c r="T64" s="60">
        <v>0.05946683578259634</v>
      </c>
      <c r="U64" s="61">
        <v>0.14866708945649088</v>
      </c>
      <c r="V64" s="60">
        <v>0.17344493769923944</v>
      </c>
    </row>
    <row r="65" spans="12:22" ht="15.75">
      <c r="L65" s="62"/>
      <c r="M65" s="53"/>
      <c r="N65" s="52" t="s">
        <v>104</v>
      </c>
      <c r="O65" s="53" t="s">
        <v>83</v>
      </c>
      <c r="P65" s="63">
        <v>174.3662462558675</v>
      </c>
      <c r="Q65" s="56">
        <v>3.5</v>
      </c>
      <c r="R65" s="58">
        <v>0.0020766196622493955</v>
      </c>
      <c r="S65" s="58">
        <v>0.018689576960244564</v>
      </c>
      <c r="T65" s="58">
        <v>0.0539921112184843</v>
      </c>
      <c r="U65" s="59">
        <v>0.130827038721712</v>
      </c>
      <c r="V65" s="58">
        <v>0.1910490089269444</v>
      </c>
    </row>
    <row r="66" spans="12:22" ht="15.75">
      <c r="L66" s="62"/>
      <c r="M66" s="55"/>
      <c r="N66" s="52" t="s">
        <v>104</v>
      </c>
      <c r="O66" s="55" t="s">
        <v>87</v>
      </c>
      <c r="P66" s="63">
        <v>237.7871479502114</v>
      </c>
      <c r="Q66" s="57">
        <v>9.9</v>
      </c>
      <c r="R66" s="60">
        <v>0.0020010587555193433</v>
      </c>
      <c r="S66" s="60">
        <v>0.014007411288635405</v>
      </c>
      <c r="T66" s="60">
        <v>0.03701958697710785</v>
      </c>
      <c r="U66" s="61">
        <v>0.09104817337613014</v>
      </c>
      <c r="V66" s="60">
        <v>0.1050555846647656</v>
      </c>
    </row>
    <row r="67" spans="12:22" ht="15.75">
      <c r="L67" s="62"/>
      <c r="M67" s="53"/>
      <c r="N67" s="52" t="s">
        <v>104</v>
      </c>
      <c r="O67" s="53" t="s">
        <v>91</v>
      </c>
      <c r="P67" s="63">
        <v>224.31756944794517</v>
      </c>
      <c r="Q67" s="56">
        <v>9.9</v>
      </c>
      <c r="R67" s="58">
        <v>0.0018893941204436379</v>
      </c>
      <c r="S67" s="58">
        <v>0.013225758843105468</v>
      </c>
      <c r="T67" s="58">
        <v>0.038732579469094586</v>
      </c>
      <c r="U67" s="59">
        <v>0.09824849426306918</v>
      </c>
      <c r="V67" s="58">
        <v>0.19649698852613837</v>
      </c>
    </row>
    <row r="68" spans="12:22" ht="15.75">
      <c r="L68" s="62"/>
      <c r="M68" s="55"/>
      <c r="N68" s="54" t="s">
        <v>106</v>
      </c>
      <c r="O68" s="55" t="s">
        <v>74</v>
      </c>
      <c r="P68" s="63">
        <v>1040.621150575083</v>
      </c>
      <c r="Q68" s="57">
        <v>28</v>
      </c>
      <c r="R68" s="60">
        <v>0.013377520633858761</v>
      </c>
      <c r="S68" s="60">
        <v>0.05128049576312527</v>
      </c>
      <c r="T68" s="60">
        <v>0.09364264443701138</v>
      </c>
      <c r="U68" s="61">
        <v>0.13600479311089736</v>
      </c>
      <c r="V68" s="60">
        <v>0.08918347089239184</v>
      </c>
    </row>
    <row r="69" spans="12:22" ht="15.75">
      <c r="L69" s="62"/>
      <c r="M69" s="53"/>
      <c r="N69" s="54" t="s">
        <v>106</v>
      </c>
      <c r="O69" s="53" t="s">
        <v>79</v>
      </c>
      <c r="P69" s="63">
        <v>437.4353610858428</v>
      </c>
      <c r="Q69" s="56">
        <v>10.1</v>
      </c>
      <c r="R69" s="58">
        <v>0.012990495879659007</v>
      </c>
      <c r="S69" s="58">
        <v>0.05715818187049962</v>
      </c>
      <c r="T69" s="58">
        <v>0.09872776868540847</v>
      </c>
      <c r="U69" s="59">
        <v>0.14809165302811264</v>
      </c>
      <c r="V69" s="58">
        <v>0.09612966950947689</v>
      </c>
    </row>
    <row r="70" spans="12:22" ht="15.75">
      <c r="L70" s="62"/>
      <c r="M70" s="55"/>
      <c r="N70" s="54" t="s">
        <v>106</v>
      </c>
      <c r="O70" s="55" t="s">
        <v>83</v>
      </c>
      <c r="P70" s="63">
        <v>65.03882191094269</v>
      </c>
      <c r="Q70" s="57">
        <v>2.3</v>
      </c>
      <c r="R70" s="60">
        <v>0.006773466880371747</v>
      </c>
      <c r="S70" s="60">
        <v>0.027093867521486993</v>
      </c>
      <c r="T70" s="60">
        <v>0.04910763488269517</v>
      </c>
      <c r="U70" s="61">
        <v>0.07620150240418215</v>
      </c>
      <c r="V70" s="60">
        <v>0.06265456864343882</v>
      </c>
    </row>
    <row r="71" spans="12:22" ht="15.75">
      <c r="L71" s="62"/>
      <c r="M71" s="53"/>
      <c r="N71" s="52" t="s">
        <v>108</v>
      </c>
      <c r="O71" s="53" t="s">
        <v>74</v>
      </c>
      <c r="P71" s="63">
        <v>881.4130888727864</v>
      </c>
      <c r="Q71" s="56">
        <v>16.3</v>
      </c>
      <c r="R71" s="58">
        <v>0.03483872022915114</v>
      </c>
      <c r="S71" s="58">
        <v>0.1870968308602561</v>
      </c>
      <c r="T71" s="58">
        <v>0.3341936496055608</v>
      </c>
      <c r="U71" s="59">
        <v>0.44645174812171456</v>
      </c>
      <c r="V71" s="58">
        <v>0.19354844571750632</v>
      </c>
    </row>
    <row r="72" spans="12:22" ht="15.75">
      <c r="L72" s="62"/>
      <c r="M72" s="55"/>
      <c r="N72" s="52" t="s">
        <v>108</v>
      </c>
      <c r="O72" s="55" t="s">
        <v>79</v>
      </c>
      <c r="P72" s="63">
        <v>940.2472652928892</v>
      </c>
      <c r="Q72" s="57">
        <v>17.3</v>
      </c>
      <c r="R72" s="60">
        <v>0.03764361849100205</v>
      </c>
      <c r="S72" s="60">
        <v>0.229755878376116</v>
      </c>
      <c r="T72" s="60">
        <v>0.4257623056913336</v>
      </c>
      <c r="U72" s="61">
        <v>0.5750387238453072</v>
      </c>
      <c r="V72" s="60">
        <v>0.2920625572577746</v>
      </c>
    </row>
    <row r="73" spans="12:22" ht="15.75">
      <c r="L73" s="62"/>
      <c r="M73" s="53"/>
      <c r="N73" s="52" t="s">
        <v>108</v>
      </c>
      <c r="O73" s="53" t="s">
        <v>83</v>
      </c>
      <c r="P73" s="63">
        <v>298.6476516318797</v>
      </c>
      <c r="Q73" s="56">
        <v>8</v>
      </c>
      <c r="R73" s="58">
        <v>0.024025985818333626</v>
      </c>
      <c r="S73" s="58">
        <v>0.12012992909166811</v>
      </c>
      <c r="T73" s="58">
        <v>0.2126744670585828</v>
      </c>
      <c r="U73" s="59">
        <v>0.28297272186037375</v>
      </c>
      <c r="V73" s="58">
        <v>0.14593561756321136</v>
      </c>
    </row>
    <row r="74" spans="12:22" ht="15.75">
      <c r="L74" s="62"/>
      <c r="M74" s="55"/>
      <c r="N74" s="52" t="s">
        <v>108</v>
      </c>
      <c r="O74" s="55" t="s">
        <v>87</v>
      </c>
      <c r="P74" s="63">
        <v>740.229915020461</v>
      </c>
      <c r="Q74" s="57">
        <v>21.4</v>
      </c>
      <c r="R74" s="60">
        <v>0.024779567849847133</v>
      </c>
      <c r="S74" s="60">
        <v>0.15693726304903188</v>
      </c>
      <c r="T74" s="60">
        <v>0.2973548141981656</v>
      </c>
      <c r="U74" s="61">
        <v>0.4039069559525084</v>
      </c>
      <c r="V74" s="60">
        <v>0.22797202421859347</v>
      </c>
    </row>
    <row r="75" spans="12:22" ht="15.75">
      <c r="L75" s="62"/>
      <c r="M75" s="53"/>
      <c r="N75" s="52" t="s">
        <v>108</v>
      </c>
      <c r="O75" s="53" t="s">
        <v>91</v>
      </c>
      <c r="P75" s="63">
        <v>216.4243179058009</v>
      </c>
      <c r="Q75" s="56">
        <v>18.6</v>
      </c>
      <c r="R75" s="58">
        <v>0.008609626918592005</v>
      </c>
      <c r="S75" s="58">
        <v>0.05887873892714532</v>
      </c>
      <c r="T75" s="58">
        <v>0.11498017884829319</v>
      </c>
      <c r="U75" s="59">
        <v>0.15858377324245274</v>
      </c>
      <c r="V75" s="58">
        <v>0.1260893748722829</v>
      </c>
    </row>
    <row r="76" spans="12:22" ht="15.75">
      <c r="L76" s="62"/>
      <c r="M76" s="55"/>
      <c r="N76" s="54" t="s">
        <v>109</v>
      </c>
      <c r="O76" s="55" t="s">
        <v>74</v>
      </c>
      <c r="P76" s="63">
        <v>1385.4423602330987</v>
      </c>
      <c r="Q76" s="57">
        <v>23.1</v>
      </c>
      <c r="R76" s="60">
        <v>0</v>
      </c>
      <c r="S76" s="60">
        <v>0.0315273506571007</v>
      </c>
      <c r="T76" s="60">
        <v>0.08407293508560186</v>
      </c>
      <c r="U76" s="61">
        <v>0.14187307795695314</v>
      </c>
      <c r="V76" s="60">
        <v>0.07881837664275193</v>
      </c>
    </row>
    <row r="77" spans="12:22" ht="15.75">
      <c r="L77" s="62"/>
      <c r="M77" s="53"/>
      <c r="N77" s="54" t="s">
        <v>109</v>
      </c>
      <c r="O77" s="53" t="s">
        <v>79</v>
      </c>
      <c r="P77" s="63">
        <v>624.5800354601868</v>
      </c>
      <c r="Q77" s="56">
        <v>15.8</v>
      </c>
      <c r="R77" s="58">
        <v>0</v>
      </c>
      <c r="S77" s="58">
        <v>0.020807472689178375</v>
      </c>
      <c r="T77" s="58">
        <v>0.05895450595267205</v>
      </c>
      <c r="U77" s="59">
        <v>0.1005694513310288</v>
      </c>
      <c r="V77" s="58">
        <v>0.09363362710130284</v>
      </c>
    </row>
    <row r="78" spans="12:22" ht="15.75">
      <c r="L78" s="62"/>
      <c r="M78" s="55"/>
      <c r="N78" s="54" t="s">
        <v>109</v>
      </c>
      <c r="O78" s="55" t="s">
        <v>83</v>
      </c>
      <c r="P78" s="63">
        <v>183.85385606970868</v>
      </c>
      <c r="Q78" s="57">
        <v>3.4</v>
      </c>
      <c r="R78" s="60">
        <v>0</v>
      </c>
      <c r="S78" s="60">
        <v>0.018926973541819443</v>
      </c>
      <c r="T78" s="60">
        <v>0.056780920625458337</v>
      </c>
      <c r="U78" s="61">
        <v>0.0946348677090972</v>
      </c>
      <c r="V78" s="60">
        <v>0.08043963755273262</v>
      </c>
    </row>
    <row r="79" spans="12:22" ht="15.75">
      <c r="L79" s="62"/>
      <c r="M79" s="53"/>
      <c r="N79" s="54" t="s">
        <v>109</v>
      </c>
      <c r="O79" s="53" t="s">
        <v>87</v>
      </c>
      <c r="P79" s="63">
        <v>660.519855417254</v>
      </c>
      <c r="Q79" s="56">
        <v>21.8</v>
      </c>
      <c r="R79" s="58">
        <v>0</v>
      </c>
      <c r="S79" s="58">
        <v>0.015934100578117748</v>
      </c>
      <c r="T79" s="58">
        <v>0.045146618304666944</v>
      </c>
      <c r="U79" s="59">
        <v>0.07967050289058872</v>
      </c>
      <c r="V79" s="58">
        <v>0.0849818697499614</v>
      </c>
    </row>
    <row r="80" spans="12:22" ht="15.75">
      <c r="L80" s="62"/>
      <c r="M80" s="55"/>
      <c r="N80" s="54" t="s">
        <v>109</v>
      </c>
      <c r="O80" s="55" t="s">
        <v>91</v>
      </c>
      <c r="P80" s="63">
        <v>280.55207794720246</v>
      </c>
      <c r="Q80" s="57">
        <v>11.7</v>
      </c>
      <c r="R80" s="60">
        <v>0</v>
      </c>
      <c r="S80" s="60">
        <v>0.012604877310790833</v>
      </c>
      <c r="T80" s="60">
        <v>0.03781463193237251</v>
      </c>
      <c r="U80" s="61">
        <v>0.06302438655395416</v>
      </c>
      <c r="V80" s="60">
        <v>0.07773007674987682</v>
      </c>
    </row>
    <row r="81" spans="12:22" ht="15.75">
      <c r="L81" s="62"/>
      <c r="M81" s="53"/>
      <c r="N81" s="52" t="s">
        <v>126</v>
      </c>
      <c r="O81" s="53" t="s">
        <v>74</v>
      </c>
      <c r="P81" s="63">
        <v>1152.0927119060827</v>
      </c>
      <c r="Q81" s="56">
        <v>20.2</v>
      </c>
      <c r="R81" s="58">
        <v>0.020577878749932124</v>
      </c>
      <c r="S81" s="58">
        <v>0.07202257562476244</v>
      </c>
      <c r="T81" s="58">
        <v>0.13718585833288086</v>
      </c>
      <c r="U81" s="59">
        <v>0.2229270197909314</v>
      </c>
      <c r="V81" s="58">
        <v>0.24693454499918574</v>
      </c>
    </row>
    <row r="82" spans="12:22" ht="15.75">
      <c r="L82" s="62"/>
      <c r="M82" s="55"/>
      <c r="N82" s="52" t="s">
        <v>126</v>
      </c>
      <c r="O82" s="55" t="s">
        <v>79</v>
      </c>
      <c r="P82" s="63">
        <v>186.26502843133886</v>
      </c>
      <c r="Q82" s="57">
        <v>9.6</v>
      </c>
      <c r="R82" s="60">
        <v>0.006993341135595118</v>
      </c>
      <c r="S82" s="60">
        <v>0.02098002340678535</v>
      </c>
      <c r="T82" s="60">
        <v>0.03962893310170568</v>
      </c>
      <c r="U82" s="61">
        <v>0.06294007022035607</v>
      </c>
      <c r="V82" s="60">
        <v>0.05245005851696352</v>
      </c>
    </row>
    <row r="83" spans="12:22" ht="15.75">
      <c r="L83" s="62"/>
      <c r="M83" s="53"/>
      <c r="N83" s="52" t="s">
        <v>126</v>
      </c>
      <c r="O83" s="53" t="s">
        <v>83</v>
      </c>
      <c r="P83" s="63">
        <v>179.07863523625218</v>
      </c>
      <c r="Q83" s="56">
        <v>3.6</v>
      </c>
      <c r="R83" s="58">
        <v>0.017940040695601206</v>
      </c>
      <c r="S83" s="58">
        <v>0.05382012208680362</v>
      </c>
      <c r="T83" s="58">
        <v>0.09867022382580666</v>
      </c>
      <c r="U83" s="59">
        <v>0.14053031878220942</v>
      </c>
      <c r="V83" s="58">
        <v>0.22724051547761523</v>
      </c>
    </row>
    <row r="84" spans="12:22" ht="15.75">
      <c r="L84" s="62"/>
      <c r="M84" s="55"/>
      <c r="N84" s="52" t="s">
        <v>126</v>
      </c>
      <c r="O84" s="55" t="s">
        <v>87</v>
      </c>
      <c r="P84" s="63">
        <v>1231.6299839133426</v>
      </c>
      <c r="Q84" s="57">
        <v>31.6</v>
      </c>
      <c r="R84" s="60">
        <v>0.01407141329030852</v>
      </c>
      <c r="S84" s="60">
        <v>0.05159518206446457</v>
      </c>
      <c r="T84" s="60">
        <v>0.09615465748377489</v>
      </c>
      <c r="U84" s="61">
        <v>0.1571307817417785</v>
      </c>
      <c r="V84" s="60">
        <v>0.20169025716108865</v>
      </c>
    </row>
    <row r="85" spans="12:22" ht="15.75">
      <c r="L85" s="62"/>
      <c r="M85" s="53"/>
      <c r="N85" s="52" t="s">
        <v>126</v>
      </c>
      <c r="O85" s="53" t="s">
        <v>91</v>
      </c>
      <c r="P85" s="63">
        <v>251.64942553417637</v>
      </c>
      <c r="Q85" s="56">
        <v>10.3</v>
      </c>
      <c r="R85" s="58">
        <v>0.008834018857358388</v>
      </c>
      <c r="S85" s="58">
        <v>0.03239140247698076</v>
      </c>
      <c r="T85" s="58">
        <v>0.06183813200150873</v>
      </c>
      <c r="U85" s="59">
        <v>0.09864654390716868</v>
      </c>
      <c r="V85" s="58">
        <v>0.12809327343169677</v>
      </c>
    </row>
    <row r="86" spans="12:22" ht="15.75">
      <c r="L86" s="62"/>
      <c r="M86" s="55"/>
      <c r="N86" s="54" t="s">
        <v>112</v>
      </c>
      <c r="O86" s="55" t="s">
        <v>74</v>
      </c>
      <c r="P86" s="63">
        <v>2524.968701524823</v>
      </c>
      <c r="Q86" s="57">
        <v>40</v>
      </c>
      <c r="R86" s="60">
        <v>0.1150445345071784</v>
      </c>
      <c r="S86" s="60">
        <v>0.2961619435623985</v>
      </c>
      <c r="T86" s="60">
        <v>0.4508502027984019</v>
      </c>
      <c r="U86" s="61">
        <v>0.5604534417545651</v>
      </c>
      <c r="V86" s="60">
        <v>0.14225101226225476</v>
      </c>
    </row>
    <row r="87" spans="12:22" ht="15.75">
      <c r="L87" s="62"/>
      <c r="M87" s="53"/>
      <c r="N87" s="54" t="s">
        <v>112</v>
      </c>
      <c r="O87" s="53" t="s">
        <v>79</v>
      </c>
      <c r="P87" s="63">
        <v>799.2290250548773</v>
      </c>
      <c r="Q87" s="56">
        <v>23</v>
      </c>
      <c r="R87" s="58">
        <v>0.13345537768367235</v>
      </c>
      <c r="S87" s="58">
        <v>0.40207709943157705</v>
      </c>
      <c r="T87" s="58">
        <v>0.630491111236324</v>
      </c>
      <c r="U87" s="59">
        <v>0.7823393775110152</v>
      </c>
      <c r="V87" s="58">
        <v>0.2835926775778038</v>
      </c>
    </row>
    <row r="88" spans="12:22" ht="15.75">
      <c r="L88" s="62"/>
      <c r="M88" s="55"/>
      <c r="N88" s="54" t="s">
        <v>112</v>
      </c>
      <c r="O88" s="55" t="s">
        <v>83</v>
      </c>
      <c r="P88" s="63">
        <v>158.36768566746147</v>
      </c>
      <c r="Q88" s="57">
        <v>6.8</v>
      </c>
      <c r="R88" s="60">
        <v>0.04536289447017967</v>
      </c>
      <c r="S88" s="60">
        <v>0.12202044398624273</v>
      </c>
      <c r="T88" s="60">
        <v>0.18748082334827415</v>
      </c>
      <c r="U88" s="61">
        <v>0.23628900094277125</v>
      </c>
      <c r="V88" s="60">
        <v>0.06488616550797864</v>
      </c>
    </row>
    <row r="89" spans="12:22" ht="15.75">
      <c r="L89" s="62"/>
      <c r="M89" s="53"/>
      <c r="N89" s="54" t="s">
        <v>112</v>
      </c>
      <c r="O89" s="53" t="s">
        <v>87</v>
      </c>
      <c r="P89" s="63">
        <v>660.519855417254</v>
      </c>
      <c r="Q89" s="56">
        <v>21.8</v>
      </c>
      <c r="R89" s="58">
        <v>0.11123490579459587</v>
      </c>
      <c r="S89" s="58">
        <v>0.3187738575455868</v>
      </c>
      <c r="T89" s="58">
        <v>0.4912252886768059</v>
      </c>
      <c r="U89" s="59">
        <v>0.609179081398592</v>
      </c>
      <c r="V89" s="58">
        <v>0.14744224090223287</v>
      </c>
    </row>
    <row r="90" spans="12:22" ht="15.75">
      <c r="L90" s="62"/>
      <c r="M90" s="55"/>
      <c r="N90" s="54" t="s">
        <v>112</v>
      </c>
      <c r="O90" s="55" t="s">
        <v>91</v>
      </c>
      <c r="P90" s="63">
        <v>22.061834409834322</v>
      </c>
      <c r="Q90" s="57">
        <v>3.8</v>
      </c>
      <c r="R90" s="60">
        <v>0.02229384191043879</v>
      </c>
      <c r="S90" s="60">
        <v>0.0665219476359867</v>
      </c>
      <c r="T90" s="60">
        <v>0.10384615393120517</v>
      </c>
      <c r="U90" s="61">
        <v>0.12844129565175375</v>
      </c>
      <c r="V90" s="60">
        <v>0.0391220967718668</v>
      </c>
    </row>
    <row r="91" spans="12:22" ht="15.75">
      <c r="L91" s="62"/>
      <c r="M91" s="53"/>
      <c r="N91" s="52" t="s">
        <v>113</v>
      </c>
      <c r="O91" s="53" t="s">
        <v>74</v>
      </c>
      <c r="P91" s="63">
        <v>897.2702777917807</v>
      </c>
      <c r="Q91" s="56">
        <v>16.2</v>
      </c>
      <c r="R91" s="58">
        <v>0.04709663602031335</v>
      </c>
      <c r="S91" s="58">
        <v>0.23077351649953545</v>
      </c>
      <c r="T91" s="58">
        <v>0.4317191635195389</v>
      </c>
      <c r="U91" s="59">
        <v>0.5824283987845418</v>
      </c>
      <c r="V91" s="58">
        <v>0.2182144135607853</v>
      </c>
    </row>
    <row r="92" spans="12:22" ht="15.75">
      <c r="L92" s="62"/>
      <c r="M92" s="55"/>
      <c r="N92" s="52" t="s">
        <v>113</v>
      </c>
      <c r="O92" s="55" t="s">
        <v>79</v>
      </c>
      <c r="P92" s="63">
        <v>929.4087706380043</v>
      </c>
      <c r="Q92" s="57">
        <v>17.1</v>
      </c>
      <c r="R92" s="60">
        <v>0.04936442043592905</v>
      </c>
      <c r="S92" s="60">
        <v>0.2823027793679692</v>
      </c>
      <c r="T92" s="60">
        <v>0.5368380722407283</v>
      </c>
      <c r="U92" s="61">
        <v>0.7234972870140851</v>
      </c>
      <c r="V92" s="60">
        <v>0.32241137097216166</v>
      </c>
    </row>
    <row r="93" spans="12:22" ht="15.75">
      <c r="L93" s="62"/>
      <c r="M93" s="53"/>
      <c r="N93" s="52" t="s">
        <v>113</v>
      </c>
      <c r="O93" s="53" t="s">
        <v>83</v>
      </c>
      <c r="P93" s="63">
        <v>304.8051732329157</v>
      </c>
      <c r="Q93" s="56">
        <v>8.1</v>
      </c>
      <c r="R93" s="58">
        <v>0.03196302944163033</v>
      </c>
      <c r="S93" s="58">
        <v>0.15981514720815163</v>
      </c>
      <c r="T93" s="58">
        <v>0.29512530517772</v>
      </c>
      <c r="U93" s="59">
        <v>0.38781809055844785</v>
      </c>
      <c r="V93" s="58">
        <v>0.16301145015231475</v>
      </c>
    </row>
    <row r="94" spans="12:22" ht="15.75">
      <c r="L94" s="62"/>
      <c r="M94" s="55"/>
      <c r="N94" s="52" t="s">
        <v>113</v>
      </c>
      <c r="O94" s="55" t="s">
        <v>87</v>
      </c>
      <c r="P94" s="63">
        <v>740.229915020461</v>
      </c>
      <c r="Q94" s="57">
        <v>21.4</v>
      </c>
      <c r="R94" s="60">
        <v>0.03238627969541777</v>
      </c>
      <c r="S94" s="60">
        <v>0.19137347092746865</v>
      </c>
      <c r="T94" s="60">
        <v>0.37195151528979803</v>
      </c>
      <c r="U94" s="61">
        <v>0.504440841316507</v>
      </c>
      <c r="V94" s="60">
        <v>0.2512390182432408</v>
      </c>
    </row>
    <row r="95" spans="12:22" ht="15.75">
      <c r="L95" s="62"/>
      <c r="M95" s="53"/>
      <c r="N95" s="52" t="s">
        <v>113</v>
      </c>
      <c r="O95" s="53" t="s">
        <v>91</v>
      </c>
      <c r="P95" s="63">
        <v>213.8246499849553</v>
      </c>
      <c r="Q95" s="56">
        <v>18.3</v>
      </c>
      <c r="R95" s="58">
        <v>0.010937246960160482</v>
      </c>
      <c r="S95" s="58">
        <v>0.06728064039129023</v>
      </c>
      <c r="T95" s="58">
        <v>0.133566985604384</v>
      </c>
      <c r="U95" s="59">
        <v>0.18295031278813895</v>
      </c>
      <c r="V95" s="58">
        <v>0.13754416631716967</v>
      </c>
    </row>
    <row r="96" spans="12:22" ht="15.75">
      <c r="L96" s="62"/>
      <c r="M96" s="55"/>
      <c r="N96" s="54" t="s">
        <v>114</v>
      </c>
      <c r="O96" s="55" t="s">
        <v>74</v>
      </c>
      <c r="P96" s="63">
        <v>494.80869692202646</v>
      </c>
      <c r="Q96" s="57">
        <v>10.3</v>
      </c>
      <c r="R96" s="60">
        <v>0</v>
      </c>
      <c r="S96" s="60">
        <v>0.002987374238338501</v>
      </c>
      <c r="T96" s="60">
        <v>0.008962122715015503</v>
      </c>
      <c r="U96" s="61">
        <v>0.020911619668369505</v>
      </c>
      <c r="V96" s="60">
        <v>0.400308147937359</v>
      </c>
    </row>
    <row r="97" spans="12:22" ht="15.75">
      <c r="L97" s="62"/>
      <c r="M97" s="53"/>
      <c r="N97" s="54" t="s">
        <v>114</v>
      </c>
      <c r="O97" s="53" t="s">
        <v>79</v>
      </c>
      <c r="P97" s="63">
        <v>89.92023572737384</v>
      </c>
      <c r="Q97" s="56">
        <v>6.1</v>
      </c>
      <c r="R97" s="58">
        <v>0</v>
      </c>
      <c r="S97" s="58">
        <v>0.0009160292702057911</v>
      </c>
      <c r="T97" s="58">
        <v>0.0018320585404115821</v>
      </c>
      <c r="U97" s="59">
        <v>0.005496175621234748</v>
      </c>
      <c r="V97" s="58">
        <v>0.05862587329317061</v>
      </c>
    </row>
    <row r="98" spans="12:22" ht="15.75">
      <c r="L98" s="62"/>
      <c r="M98" s="55"/>
      <c r="N98" s="54" t="s">
        <v>114</v>
      </c>
      <c r="O98" s="55" t="s">
        <v>83</v>
      </c>
      <c r="P98" s="63">
        <v>240.52818754046854</v>
      </c>
      <c r="Q98" s="57">
        <v>6.6</v>
      </c>
      <c r="R98" s="60">
        <v>0</v>
      </c>
      <c r="S98" s="60">
        <v>0.0022631558822758064</v>
      </c>
      <c r="T98" s="60">
        <v>0.002263155882275805</v>
      </c>
      <c r="U98" s="61">
        <v>0.009052623529103227</v>
      </c>
      <c r="V98" s="60">
        <v>0.174263002935237</v>
      </c>
    </row>
    <row r="99" spans="12:22" ht="15.75">
      <c r="L99" s="62"/>
      <c r="M99" s="53"/>
      <c r="N99" s="54" t="s">
        <v>114</v>
      </c>
      <c r="O99" s="53" t="s">
        <v>87</v>
      </c>
      <c r="P99" s="63">
        <v>448.6272849142564</v>
      </c>
      <c r="Q99" s="56">
        <v>16</v>
      </c>
      <c r="R99" s="58">
        <v>0</v>
      </c>
      <c r="S99" s="58">
        <v>0.0017415933666341363</v>
      </c>
      <c r="T99" s="58">
        <v>0.005224780099902409</v>
      </c>
      <c r="U99" s="59">
        <v>0.012191153566438954</v>
      </c>
      <c r="V99" s="58">
        <v>0.22466554429580357</v>
      </c>
    </row>
    <row r="100" spans="12:22" ht="15.75">
      <c r="L100" s="62"/>
      <c r="M100" s="55"/>
      <c r="N100" s="54" t="s">
        <v>114</v>
      </c>
      <c r="O100" s="55" t="s">
        <v>91</v>
      </c>
      <c r="P100" s="63">
        <v>153.93804002589985</v>
      </c>
      <c r="Q100" s="57">
        <v>7.8</v>
      </c>
      <c r="R100" s="60">
        <v>0</v>
      </c>
      <c r="S100" s="60">
        <v>0.001229037497581099</v>
      </c>
      <c r="T100" s="60">
        <v>0.0036871124927432973</v>
      </c>
      <c r="U100" s="61">
        <v>0.008603262483067696</v>
      </c>
      <c r="V100" s="60">
        <v>0.1831265871395838</v>
      </c>
    </row>
    <row r="101" spans="12:22" ht="15.75">
      <c r="L101" s="62"/>
      <c r="M101" s="53"/>
      <c r="N101" s="52" t="s">
        <v>115</v>
      </c>
      <c r="O101" s="53" t="s">
        <v>74</v>
      </c>
      <c r="P101" s="63">
        <v>486.95471528805183</v>
      </c>
      <c r="Q101" s="56">
        <v>11.7</v>
      </c>
      <c r="R101" s="58">
        <v>0.004502878205086762</v>
      </c>
      <c r="S101" s="58">
        <v>0.054935114102058494</v>
      </c>
      <c r="T101" s="58">
        <v>0.12337886281937725</v>
      </c>
      <c r="U101" s="59">
        <v>0.18461800640855722</v>
      </c>
      <c r="V101" s="58">
        <v>0.22244218333128593</v>
      </c>
    </row>
    <row r="102" spans="12:22" ht="15.75">
      <c r="L102" s="62"/>
      <c r="M102" s="55"/>
      <c r="N102" s="52" t="s">
        <v>115</v>
      </c>
      <c r="O102" s="55" t="s">
        <v>79</v>
      </c>
      <c r="P102" s="63">
        <v>951.1485918008456</v>
      </c>
      <c r="Q102" s="57">
        <v>17.5</v>
      </c>
      <c r="R102" s="60">
        <v>0.0058828155171759475</v>
      </c>
      <c r="S102" s="60">
        <v>0.07177034930954658</v>
      </c>
      <c r="T102" s="60">
        <v>0.16236570827405614</v>
      </c>
      <c r="U102" s="61">
        <v>0.2435485624110842</v>
      </c>
      <c r="V102" s="60">
        <v>0.2964939020656676</v>
      </c>
    </row>
    <row r="103" spans="12:22" ht="15.75">
      <c r="L103" s="62"/>
      <c r="M103" s="53"/>
      <c r="N103" s="52" t="s">
        <v>115</v>
      </c>
      <c r="O103" s="53" t="s">
        <v>83</v>
      </c>
      <c r="P103" s="63">
        <v>122.7184630308513</v>
      </c>
      <c r="Q103" s="56">
        <v>3.1</v>
      </c>
      <c r="R103" s="58">
        <v>0.00256940176477354</v>
      </c>
      <c r="S103" s="58">
        <v>0.02398108313788637</v>
      </c>
      <c r="T103" s="58">
        <v>0.052244502550395304</v>
      </c>
      <c r="U103" s="59">
        <v>0.07879498745305524</v>
      </c>
      <c r="V103" s="58">
        <v>0.09249846353184729</v>
      </c>
    </row>
    <row r="104" spans="12:22" ht="15.75">
      <c r="L104" s="62"/>
      <c r="M104" s="55"/>
      <c r="N104" s="52" t="s">
        <v>115</v>
      </c>
      <c r="O104" s="55" t="s">
        <v>87</v>
      </c>
      <c r="P104" s="63">
        <v>498.7592496839155</v>
      </c>
      <c r="Q104" s="57">
        <v>16</v>
      </c>
      <c r="R104" s="60">
        <v>0.004045537336274846</v>
      </c>
      <c r="S104" s="60">
        <v>0.04854644803529816</v>
      </c>
      <c r="T104" s="60">
        <v>0.11394930163840813</v>
      </c>
      <c r="U104" s="61">
        <v>0.17260959301439346</v>
      </c>
      <c r="V104" s="60">
        <v>0.31015786244773824</v>
      </c>
    </row>
    <row r="105" spans="12:22" ht="15.75">
      <c r="L105" s="62"/>
      <c r="M105" s="53"/>
      <c r="N105" s="52" t="s">
        <v>115</v>
      </c>
      <c r="O105" s="53" t="s">
        <v>91</v>
      </c>
      <c r="P105" s="63">
        <v>314.1592653589793</v>
      </c>
      <c r="Q105" s="56">
        <v>12.7</v>
      </c>
      <c r="R105" s="58">
        <v>0.003215360744639308</v>
      </c>
      <c r="S105" s="58">
        <v>0.039120222393111595</v>
      </c>
      <c r="T105" s="58">
        <v>0.09163778122222027</v>
      </c>
      <c r="U105" s="59">
        <v>0.13933229893437007</v>
      </c>
      <c r="V105" s="58">
        <v>0.25776475302858454</v>
      </c>
    </row>
    <row r="106" spans="12:22" ht="15.75">
      <c r="L106" s="62"/>
      <c r="M106" s="55"/>
      <c r="N106" s="54" t="s">
        <v>116</v>
      </c>
      <c r="O106" s="55" t="s">
        <v>74</v>
      </c>
      <c r="P106" s="63">
        <v>494.80869692202646</v>
      </c>
      <c r="Q106" s="57">
        <v>11.3</v>
      </c>
      <c r="R106" s="60">
        <v>0.10258591686020505</v>
      </c>
      <c r="S106" s="60">
        <v>0.29581281505579676</v>
      </c>
      <c r="T106" s="60">
        <v>0.46936570179874637</v>
      </c>
      <c r="U106" s="61">
        <v>0.5845991974499356</v>
      </c>
      <c r="V106" s="60">
        <v>0.17425553000911523</v>
      </c>
    </row>
    <row r="107" spans="12:22" ht="15.75">
      <c r="L107" s="62"/>
      <c r="M107" s="53"/>
      <c r="N107" s="54" t="s">
        <v>116</v>
      </c>
      <c r="O107" s="53" t="s">
        <v>79</v>
      </c>
      <c r="P107" s="63">
        <v>956.622816999726</v>
      </c>
      <c r="Q107" s="56">
        <v>17.6</v>
      </c>
      <c r="R107" s="58">
        <v>0.1282857402497204</v>
      </c>
      <c r="S107" s="58">
        <v>0.37525760753319576</v>
      </c>
      <c r="T107" s="58">
        <v>0.5934306351687747</v>
      </c>
      <c r="U107" s="59">
        <v>0.7365521412977145</v>
      </c>
      <c r="V107" s="58">
        <v>0.22166379607774814</v>
      </c>
    </row>
    <row r="108" spans="12:22" ht="15.75">
      <c r="L108" s="62"/>
      <c r="M108" s="55"/>
      <c r="N108" s="54" t="s">
        <v>116</v>
      </c>
      <c r="O108" s="55" t="s">
        <v>83</v>
      </c>
      <c r="P108" s="63">
        <v>298.6476516318797</v>
      </c>
      <c r="Q108" s="57">
        <v>8</v>
      </c>
      <c r="R108" s="60">
        <v>0.06043586444886438</v>
      </c>
      <c r="S108" s="60">
        <v>0.1729303448091268</v>
      </c>
      <c r="T108" s="60">
        <v>0.2698670778855232</v>
      </c>
      <c r="U108" s="61">
        <v>0.3350899414986539</v>
      </c>
      <c r="V108" s="60">
        <v>0.11010098077812895</v>
      </c>
    </row>
    <row r="109" spans="12:22" ht="15.75">
      <c r="L109" s="62"/>
      <c r="M109" s="53"/>
      <c r="N109" s="54" t="s">
        <v>116</v>
      </c>
      <c r="O109" s="53" t="s">
        <v>87</v>
      </c>
      <c r="P109" s="63">
        <v>735.4154242788347</v>
      </c>
      <c r="Q109" s="56">
        <v>21.3</v>
      </c>
      <c r="R109" s="58">
        <v>0.09370458689209415</v>
      </c>
      <c r="S109" s="58">
        <v>0.27667804058671586</v>
      </c>
      <c r="T109" s="58">
        <v>0.4280469886431757</v>
      </c>
      <c r="U109" s="59">
        <v>0.5295140856920115</v>
      </c>
      <c r="V109" s="58">
        <v>0.17243861848190103</v>
      </c>
    </row>
    <row r="110" spans="12:22" ht="15.75">
      <c r="L110" s="62"/>
      <c r="M110" s="55"/>
      <c r="N110" s="54" t="s">
        <v>116</v>
      </c>
      <c r="O110" s="55" t="s">
        <v>91</v>
      </c>
      <c r="P110" s="63">
        <v>226.98006922186255</v>
      </c>
      <c r="Q110" s="57">
        <v>19.3</v>
      </c>
      <c r="R110" s="60">
        <v>0.03432922982595159</v>
      </c>
      <c r="S110" s="60">
        <v>0.10789186516727642</v>
      </c>
      <c r="T110" s="60">
        <v>0.1729665041230638</v>
      </c>
      <c r="U110" s="61">
        <v>0.21597235247645366</v>
      </c>
      <c r="V110" s="60">
        <v>0.09940386878173885</v>
      </c>
    </row>
    <row r="111" spans="12:22" ht="15.75">
      <c r="L111" s="62"/>
      <c r="M111" s="53"/>
      <c r="N111" s="52" t="s">
        <v>117</v>
      </c>
      <c r="O111" s="53" t="s">
        <v>74</v>
      </c>
      <c r="P111" s="63">
        <v>876.1587751596574</v>
      </c>
      <c r="Q111" s="56">
        <v>16.6</v>
      </c>
      <c r="R111" s="58">
        <v>0</v>
      </c>
      <c r="S111" s="58">
        <v>0.0068298377219255454</v>
      </c>
      <c r="T111" s="58">
        <v>0.02048951316577664</v>
      </c>
      <c r="U111" s="59">
        <v>0.08195805266310653</v>
      </c>
      <c r="V111" s="58">
        <v>0.29368302204279817</v>
      </c>
    </row>
    <row r="112" spans="12:22" ht="15.75">
      <c r="L112" s="62"/>
      <c r="M112" s="55"/>
      <c r="N112" s="52" t="s">
        <v>117</v>
      </c>
      <c r="O112" s="55" t="s">
        <v>79</v>
      </c>
      <c r="P112" s="63">
        <v>174.3662462558675</v>
      </c>
      <c r="Q112" s="57">
        <v>4.4</v>
      </c>
      <c r="R112" s="60">
        <v>0</v>
      </c>
      <c r="S112" s="60">
        <v>0.00512485929492872</v>
      </c>
      <c r="T112" s="60">
        <v>0.015374577884786165</v>
      </c>
      <c r="U112" s="61">
        <v>0.05637345224421593</v>
      </c>
      <c r="V112" s="60">
        <v>0.13324634166814664</v>
      </c>
    </row>
    <row r="113" spans="12:22" ht="15.75">
      <c r="L113" s="62"/>
      <c r="M113" s="53"/>
      <c r="N113" s="52" t="s">
        <v>117</v>
      </c>
      <c r="O113" s="53" t="s">
        <v>83</v>
      </c>
      <c r="P113" s="63">
        <v>174.3662462558675</v>
      </c>
      <c r="Q113" s="56">
        <v>3.5</v>
      </c>
      <c r="R113" s="58">
        <v>0</v>
      </c>
      <c r="S113" s="58">
        <v>0</v>
      </c>
      <c r="T113" s="58">
        <v>0.012885360512963647</v>
      </c>
      <c r="U113" s="59">
        <v>0.045098761795372755</v>
      </c>
      <c r="V113" s="58">
        <v>0.14818164589908187</v>
      </c>
    </row>
    <row r="114" spans="12:22" ht="15.75">
      <c r="L114" s="62"/>
      <c r="M114" s="55"/>
      <c r="N114" s="52" t="s">
        <v>117</v>
      </c>
      <c r="O114" s="55" t="s">
        <v>87</v>
      </c>
      <c r="P114" s="63">
        <v>219.03969378991434</v>
      </c>
      <c r="Q114" s="57">
        <v>9.3</v>
      </c>
      <c r="R114" s="60">
        <v>0</v>
      </c>
      <c r="S114" s="60">
        <v>0.0030477232845151627</v>
      </c>
      <c r="T114" s="60">
        <v>0.009143169853545489</v>
      </c>
      <c r="U114" s="61">
        <v>0.033524956129666786</v>
      </c>
      <c r="V114" s="60">
        <v>0.07924080539739416</v>
      </c>
    </row>
    <row r="115" spans="12:22" ht="15.75">
      <c r="L115" s="62"/>
      <c r="M115" s="53"/>
      <c r="N115" s="52" t="s">
        <v>117</v>
      </c>
      <c r="O115" s="53" t="s">
        <v>91</v>
      </c>
      <c r="P115" s="63">
        <v>213.8246499849553</v>
      </c>
      <c r="Q115" s="56">
        <v>9.6</v>
      </c>
      <c r="R115" s="58">
        <v>0</v>
      </c>
      <c r="S115" s="58">
        <v>0.0028832855404353278</v>
      </c>
      <c r="T115" s="58">
        <v>0.011533142161741316</v>
      </c>
      <c r="U115" s="59">
        <v>0.03459942648522394</v>
      </c>
      <c r="V115" s="58">
        <v>0.14416427702176643</v>
      </c>
    </row>
    <row r="116" spans="12:22" ht="15.75">
      <c r="L116" s="62"/>
      <c r="M116" s="55"/>
      <c r="N116" t="s">
        <v>118</v>
      </c>
      <c r="O116" s="55" t="s">
        <v>74</v>
      </c>
      <c r="P116" s="63">
        <v>2307.2170607228804</v>
      </c>
      <c r="Q116" s="57">
        <v>34</v>
      </c>
      <c r="R116" s="60">
        <v>0.003627470072004617</v>
      </c>
      <c r="S116" s="60">
        <v>0.036274700720046175</v>
      </c>
      <c r="T116" s="60">
        <v>0.11245157223214318</v>
      </c>
      <c r="U116" s="61">
        <v>0.293825075832374</v>
      </c>
      <c r="V116" s="60">
        <v>0.37725688748848024</v>
      </c>
    </row>
    <row r="117" spans="12:22" ht="15.75">
      <c r="L117" s="62"/>
      <c r="M117" s="53"/>
      <c r="N117" t="s">
        <v>118</v>
      </c>
      <c r="O117" s="53" t="s">
        <v>79</v>
      </c>
      <c r="P117" s="63">
        <v>93.31315579325083</v>
      </c>
      <c r="Q117" s="56">
        <v>6.4</v>
      </c>
      <c r="R117" s="58">
        <v>0</v>
      </c>
      <c r="S117" s="58">
        <v>0.005448248432083822</v>
      </c>
      <c r="T117" s="58">
        <v>0.01634474529625147</v>
      </c>
      <c r="U117" s="59">
        <v>0.044364308661253994</v>
      </c>
      <c r="V117" s="58">
        <v>0.049034235888754385</v>
      </c>
    </row>
    <row r="118" spans="12:22" ht="15.75">
      <c r="L118" s="62"/>
      <c r="M118" s="55"/>
      <c r="N118" t="s">
        <v>118</v>
      </c>
      <c r="O118" s="55" t="s">
        <v>83</v>
      </c>
      <c r="P118" s="63">
        <v>754.7676350249478</v>
      </c>
      <c r="Q118" s="57">
        <v>21.5</v>
      </c>
      <c r="R118" s="60">
        <v>0.0018771018002358827</v>
      </c>
      <c r="S118" s="60">
        <v>0.015016814401887062</v>
      </c>
      <c r="T118" s="60">
        <v>0.04692754500589707</v>
      </c>
      <c r="U118" s="61">
        <v>0.11638031161462471</v>
      </c>
      <c r="V118" s="60">
        <v>0.16893916202122952</v>
      </c>
    </row>
    <row r="119" spans="12:22" ht="15.75">
      <c r="L119" s="62"/>
      <c r="M119" s="53"/>
      <c r="N119" t="s">
        <v>118</v>
      </c>
      <c r="O119" s="53" t="s">
        <v>87</v>
      </c>
      <c r="P119" s="63">
        <v>711.5785900197222</v>
      </c>
      <c r="Q119" s="56">
        <v>22.6</v>
      </c>
      <c r="R119" s="58">
        <v>0.0016814846276696934</v>
      </c>
      <c r="S119" s="58">
        <v>0.02017781553203632</v>
      </c>
      <c r="T119" s="58">
        <v>0.062214931223778656</v>
      </c>
      <c r="U119" s="59">
        <v>0.1563780703732815</v>
      </c>
      <c r="V119" s="58">
        <v>0.20850409383104204</v>
      </c>
    </row>
    <row r="120" spans="12:22" ht="15.75">
      <c r="L120" s="62"/>
      <c r="M120" s="55"/>
      <c r="N120" t="s">
        <v>118</v>
      </c>
      <c r="O120" s="55" t="s">
        <v>91</v>
      </c>
      <c r="P120" s="63">
        <v>174.3662462558675</v>
      </c>
      <c r="Q120" s="57">
        <v>8.3</v>
      </c>
      <c r="R120" s="60">
        <v>0.0011222672317063012</v>
      </c>
      <c r="S120" s="60">
        <v>0.014589474012181915</v>
      </c>
      <c r="T120" s="60">
        <v>0.04713522373166466</v>
      </c>
      <c r="U120" s="61">
        <v>0.11783805932916162</v>
      </c>
      <c r="V120" s="60">
        <v>0.21435304125590354</v>
      </c>
    </row>
    <row r="121" spans="12:22" ht="15.75">
      <c r="L121" s="62"/>
      <c r="M121" s="53"/>
      <c r="N121" s="52" t="s">
        <v>119</v>
      </c>
      <c r="O121" s="53" t="s">
        <v>74</v>
      </c>
      <c r="P121" s="63">
        <v>1378.852869642194</v>
      </c>
      <c r="Q121" s="56">
        <v>23</v>
      </c>
      <c r="R121" s="58">
        <v>0.018231070898162116</v>
      </c>
      <c r="S121" s="58">
        <v>0.11850196083805374</v>
      </c>
      <c r="T121" s="58">
        <v>0.22788838622702637</v>
      </c>
      <c r="U121" s="59">
        <v>0.309928205268756</v>
      </c>
      <c r="V121" s="58">
        <v>0.07292428359264852</v>
      </c>
    </row>
    <row r="122" spans="12:22" ht="15.75">
      <c r="L122" s="62"/>
      <c r="M122" s="55"/>
      <c r="N122" s="52" t="s">
        <v>119</v>
      </c>
      <c r="O122" s="55" t="s">
        <v>79</v>
      </c>
      <c r="P122" s="63">
        <v>907.9202768874502</v>
      </c>
      <c r="Q122" s="57">
        <v>17</v>
      </c>
      <c r="R122" s="60">
        <v>0.02164549627570836</v>
      </c>
      <c r="S122" s="60">
        <v>0.14881278689549496</v>
      </c>
      <c r="T122" s="60">
        <v>0.28680282565313575</v>
      </c>
      <c r="U122" s="61">
        <v>0.3869132459282869</v>
      </c>
      <c r="V122" s="60">
        <v>0.1325786646887137</v>
      </c>
    </row>
    <row r="123" spans="12:22" ht="15.75">
      <c r="L123" s="62"/>
      <c r="M123" s="53"/>
      <c r="N123" s="52" t="s">
        <v>119</v>
      </c>
      <c r="O123" s="53" t="s">
        <v>83</v>
      </c>
      <c r="P123" s="63">
        <v>138.92908112337463</v>
      </c>
      <c r="Q123" s="56">
        <v>3.2</v>
      </c>
      <c r="R123" s="58">
        <v>0.006590043691122378</v>
      </c>
      <c r="S123" s="58">
        <v>0.039540262146734284</v>
      </c>
      <c r="T123" s="58">
        <v>0.0768838430630944</v>
      </c>
      <c r="U123" s="59">
        <v>0.10324401782758397</v>
      </c>
      <c r="V123" s="58">
        <v>0.03514689968598605</v>
      </c>
    </row>
    <row r="124" spans="12:22" ht="15.75">
      <c r="L124" s="62"/>
      <c r="M124" s="55"/>
      <c r="N124" s="52" t="s">
        <v>119</v>
      </c>
      <c r="O124" s="55" t="s">
        <v>87</v>
      </c>
      <c r="P124" s="63">
        <v>660.519855417254</v>
      </c>
      <c r="Q124" s="57">
        <v>21.8</v>
      </c>
      <c r="R124" s="60">
        <v>0.012289805068767213</v>
      </c>
      <c r="S124" s="60">
        <v>0.09217353801575413</v>
      </c>
      <c r="T124" s="60">
        <v>0.1751297222299328</v>
      </c>
      <c r="U124" s="61">
        <v>0.2396511988409607</v>
      </c>
      <c r="V124" s="60">
        <v>0.08295618421417884</v>
      </c>
    </row>
    <row r="125" spans="12:22" ht="15.75">
      <c r="L125" s="62"/>
      <c r="M125" s="53"/>
      <c r="N125" s="52" t="s">
        <v>119</v>
      </c>
      <c r="O125" s="53" t="s">
        <v>91</v>
      </c>
      <c r="P125" s="63">
        <v>280.55207794720246</v>
      </c>
      <c r="Q125" s="56">
        <v>11.7</v>
      </c>
      <c r="R125" s="58">
        <v>0.009722009993967625</v>
      </c>
      <c r="S125" s="58">
        <v>0.0753455774532491</v>
      </c>
      <c r="T125" s="58">
        <v>0.14583014990951437</v>
      </c>
      <c r="U125" s="59">
        <v>0.2005164561255823</v>
      </c>
      <c r="V125" s="58">
        <v>0.07534557745324923</v>
      </c>
    </row>
    <row r="126" spans="12:22" ht="15.75">
      <c r="L126" s="62"/>
      <c r="M126" s="55"/>
      <c r="N126" s="54" t="s">
        <v>120</v>
      </c>
      <c r="O126" s="55" t="s">
        <v>74</v>
      </c>
      <c r="P126" s="63">
        <v>814.3322317370104</v>
      </c>
      <c r="Q126" s="57">
        <v>15.8</v>
      </c>
      <c r="R126" s="60">
        <v>0.017999565837585267</v>
      </c>
      <c r="S126" s="60">
        <v>0.0794098492834644</v>
      </c>
      <c r="T126" s="60">
        <v>0.15458450660514403</v>
      </c>
      <c r="U126" s="61">
        <v>0.22128878000325414</v>
      </c>
      <c r="V126" s="60">
        <v>0.16623128450005217</v>
      </c>
    </row>
    <row r="127" spans="12:22" ht="15.75">
      <c r="L127" s="62"/>
      <c r="M127" s="53"/>
      <c r="N127" s="54" t="s">
        <v>120</v>
      </c>
      <c r="O127" s="53" t="s">
        <v>79</v>
      </c>
      <c r="P127" s="63">
        <v>789.2387604164618</v>
      </c>
      <c r="Q127" s="56">
        <v>15.5</v>
      </c>
      <c r="R127" s="58">
        <v>0.017791135059474925</v>
      </c>
      <c r="S127" s="58">
        <v>0.07953683908941732</v>
      </c>
      <c r="T127" s="58">
        <v>0.1559340661095155</v>
      </c>
      <c r="U127" s="59">
        <v>0.2239589942780961</v>
      </c>
      <c r="V127" s="58">
        <v>0.17686481323830971</v>
      </c>
    </row>
    <row r="128" spans="12:22" ht="15.75">
      <c r="L128" s="62"/>
      <c r="M128" s="55"/>
      <c r="N128" s="54" t="s">
        <v>120</v>
      </c>
      <c r="O128" s="55" t="s">
        <v>83</v>
      </c>
      <c r="P128" s="63">
        <v>107.51315458747668</v>
      </c>
      <c r="Q128" s="57">
        <v>2.6</v>
      </c>
      <c r="R128" s="60">
        <v>0.008521092206215723</v>
      </c>
      <c r="S128" s="60">
        <v>0.0409012425898355</v>
      </c>
      <c r="T128" s="60">
        <v>0.0792461575178062</v>
      </c>
      <c r="U128" s="61">
        <v>0.11333052634266912</v>
      </c>
      <c r="V128" s="60">
        <v>0.11077419868080447</v>
      </c>
    </row>
    <row r="129" spans="12:22" ht="15.75">
      <c r="L129" s="62"/>
      <c r="M129" s="53"/>
      <c r="N129" s="54" t="s">
        <v>120</v>
      </c>
      <c r="O129" s="53" t="s">
        <v>87</v>
      </c>
      <c r="P129" s="63">
        <v>646.9246132088441</v>
      </c>
      <c r="Q129" s="56">
        <v>21.5</v>
      </c>
      <c r="R129" s="58">
        <v>0.012380546690539907</v>
      </c>
      <c r="S129" s="58">
        <v>0.0575695421110106</v>
      </c>
      <c r="T129" s="58">
        <v>0.11637713889107518</v>
      </c>
      <c r="U129" s="59">
        <v>0.16837543499134278</v>
      </c>
      <c r="V129" s="58">
        <v>0.20242193839032752</v>
      </c>
    </row>
    <row r="130" spans="12:22" ht="15.75">
      <c r="L130" s="62"/>
      <c r="M130" s="55"/>
      <c r="N130" s="54" t="s">
        <v>120</v>
      </c>
      <c r="O130" s="55" t="s">
        <v>91</v>
      </c>
      <c r="P130" s="63">
        <v>153.93804002589985</v>
      </c>
      <c r="Q130" s="57">
        <v>7.8</v>
      </c>
      <c r="R130" s="60">
        <v>0.007314183183236148</v>
      </c>
      <c r="S130" s="60">
        <v>0.03453919836528182</v>
      </c>
      <c r="T130" s="60">
        <v>0.06948474024074341</v>
      </c>
      <c r="U130" s="61">
        <v>0.10077319052458694</v>
      </c>
      <c r="V130" s="60">
        <v>0.10117953403476682</v>
      </c>
    </row>
    <row r="131" spans="12:22" ht="15.75">
      <c r="L131" s="62"/>
      <c r="M131" s="53"/>
      <c r="N131" s="52" t="s">
        <v>127</v>
      </c>
      <c r="O131" s="53" t="s">
        <v>74</v>
      </c>
      <c r="P131" s="63">
        <v>855.2985999398212</v>
      </c>
      <c r="Q131" s="56">
        <v>16</v>
      </c>
      <c r="R131" s="58">
        <v>0.029730610358901982</v>
      </c>
      <c r="S131" s="58">
        <v>0.14334401423042029</v>
      </c>
      <c r="T131" s="58">
        <v>0.2633282631788461</v>
      </c>
      <c r="U131" s="59">
        <v>0.35782913181964165</v>
      </c>
      <c r="V131" s="58">
        <v>0.16882739453805046</v>
      </c>
    </row>
    <row r="132" spans="12:22" ht="15.75">
      <c r="L132" s="62"/>
      <c r="M132" s="55"/>
      <c r="N132" s="52" t="s">
        <v>127</v>
      </c>
      <c r="O132" s="55" t="s">
        <v>79</v>
      </c>
      <c r="P132" s="63">
        <v>984.2295624431462</v>
      </c>
      <c r="Q132" s="57">
        <v>18.1</v>
      </c>
      <c r="R132" s="60">
        <v>0.03563264568647269</v>
      </c>
      <c r="S132" s="60">
        <v>0.18248233700042069</v>
      </c>
      <c r="T132" s="60">
        <v>0.33581069116645473</v>
      </c>
      <c r="U132" s="61">
        <v>0.44702773679392993</v>
      </c>
      <c r="V132" s="60">
        <v>0.26022629122545204</v>
      </c>
    </row>
    <row r="133" spans="12:22" ht="15.75">
      <c r="L133" s="62"/>
      <c r="M133" s="53"/>
      <c r="N133" s="52" t="s">
        <v>127</v>
      </c>
      <c r="O133" s="53" t="s">
        <v>83</v>
      </c>
      <c r="P133" s="63">
        <v>122.7184630308513</v>
      </c>
      <c r="Q133" s="56">
        <v>3.1</v>
      </c>
      <c r="R133" s="58">
        <v>0.01021883589649748</v>
      </c>
      <c r="S133" s="58">
        <v>0.05030811518275684</v>
      </c>
      <c r="T133" s="58">
        <v>0.09118345876874677</v>
      </c>
      <c r="U133" s="59">
        <v>0.12183996645823918</v>
      </c>
      <c r="V133" s="58">
        <v>0.07939249427278797</v>
      </c>
    </row>
    <row r="134" spans="12:22" ht="15.75">
      <c r="L134" s="62"/>
      <c r="M134" s="55"/>
      <c r="N134" s="52" t="s">
        <v>127</v>
      </c>
      <c r="O134" s="55" t="s">
        <v>87</v>
      </c>
      <c r="P134" s="63">
        <v>784.267190042156</v>
      </c>
      <c r="Q134" s="57">
        <v>17.2</v>
      </c>
      <c r="R134" s="60">
        <v>0.02896302510733589</v>
      </c>
      <c r="S134" s="60">
        <v>0.14481512553667947</v>
      </c>
      <c r="T134" s="60">
        <v>0.2651926986390443</v>
      </c>
      <c r="U134" s="61">
        <v>0.3520817739610519</v>
      </c>
      <c r="V134" s="60">
        <v>0.1701577725055983</v>
      </c>
    </row>
    <row r="135" spans="12:22" ht="15.75">
      <c r="L135" s="62"/>
      <c r="M135" s="53"/>
      <c r="N135" s="52" t="s">
        <v>127</v>
      </c>
      <c r="O135" s="53" t="s">
        <v>91</v>
      </c>
      <c r="P135" s="63">
        <v>339.79466141227203</v>
      </c>
      <c r="Q135" s="56">
        <v>13.3</v>
      </c>
      <c r="R135" s="58">
        <v>0.0182641384505425</v>
      </c>
      <c r="S135" s="58">
        <v>0.10603347044898281</v>
      </c>
      <c r="T135" s="58">
        <v>0.20242753449351272</v>
      </c>
      <c r="U135" s="59">
        <v>0.27396207675813744</v>
      </c>
      <c r="V135" s="58">
        <v>0.23946314857377932</v>
      </c>
    </row>
    <row r="136" spans="12:22" ht="15.75">
      <c r="L136" s="62"/>
      <c r="M136" s="55"/>
      <c r="N136" s="54" t="s">
        <v>122</v>
      </c>
      <c r="O136" s="55" t="s">
        <v>74</v>
      </c>
      <c r="P136" s="63">
        <v>486.95471528805183</v>
      </c>
      <c r="Q136" s="57">
        <v>11.2</v>
      </c>
      <c r="R136" s="60">
        <v>0.009181363607899859</v>
      </c>
      <c r="S136" s="60">
        <v>0.057842590729769126</v>
      </c>
      <c r="T136" s="60">
        <v>0.1248665450674381</v>
      </c>
      <c r="U136" s="61">
        <v>0.18638168124036716</v>
      </c>
      <c r="V136" s="60">
        <v>0.24881495377408633</v>
      </c>
    </row>
    <row r="137" spans="12:22" ht="15.75">
      <c r="L137" s="62"/>
      <c r="M137" s="53"/>
      <c r="N137" s="54" t="s">
        <v>122</v>
      </c>
      <c r="O137" s="53" t="s">
        <v>79</v>
      </c>
      <c r="P137" s="63">
        <v>945.6900745652337</v>
      </c>
      <c r="Q137" s="56">
        <v>17.4</v>
      </c>
      <c r="R137" s="58">
        <v>0.011483221579237535</v>
      </c>
      <c r="S137" s="58">
        <v>0.07234429594919649</v>
      </c>
      <c r="T137" s="58">
        <v>0.1573201356355543</v>
      </c>
      <c r="U137" s="59">
        <v>0.23540604237436955</v>
      </c>
      <c r="V137" s="58">
        <v>0.3180852377448798</v>
      </c>
    </row>
    <row r="138" spans="12:22" ht="15.75">
      <c r="L138" s="62"/>
      <c r="M138" s="55"/>
      <c r="N138" s="54" t="s">
        <v>122</v>
      </c>
      <c r="O138" s="55" t="s">
        <v>83</v>
      </c>
      <c r="P138" s="63">
        <v>304.8051732329157</v>
      </c>
      <c r="Q138" s="57">
        <v>8.1</v>
      </c>
      <c r="R138" s="60">
        <v>0.004760037675649938</v>
      </c>
      <c r="S138" s="60">
        <v>0.03252692411694124</v>
      </c>
      <c r="T138" s="60">
        <v>0.0729872443599657</v>
      </c>
      <c r="U138" s="61">
        <v>0.10868752692734027</v>
      </c>
      <c r="V138" s="60">
        <v>0.1602546017468812</v>
      </c>
    </row>
    <row r="139" spans="12:22" ht="15.75">
      <c r="L139" s="62"/>
      <c r="M139" s="53"/>
      <c r="N139" s="54" t="s">
        <v>122</v>
      </c>
      <c r="O139" s="53" t="s">
        <v>87</v>
      </c>
      <c r="P139" s="63">
        <v>498.7592496839155</v>
      </c>
      <c r="Q139" s="56">
        <v>16</v>
      </c>
      <c r="R139" s="58">
        <v>0.008554358907664017</v>
      </c>
      <c r="S139" s="58">
        <v>0.05659037431223888</v>
      </c>
      <c r="T139" s="58">
        <v>0.1223931351404236</v>
      </c>
      <c r="U139" s="59">
        <v>0.180957592277508</v>
      </c>
      <c r="V139" s="58">
        <v>0.33230394218233295</v>
      </c>
    </row>
    <row r="140" spans="12:22" ht="15.75">
      <c r="L140" s="62"/>
      <c r="M140" s="55"/>
      <c r="N140" s="54" t="s">
        <v>122</v>
      </c>
      <c r="O140" s="55" t="s">
        <v>91</v>
      </c>
      <c r="P140" s="63">
        <v>224.31756944794517</v>
      </c>
      <c r="Q140" s="57">
        <v>19.2</v>
      </c>
      <c r="R140" s="60">
        <v>0.003452096463933509</v>
      </c>
      <c r="S140" s="60">
        <v>0.022192048696715417</v>
      </c>
      <c r="T140" s="60">
        <v>0.048082772176216745</v>
      </c>
      <c r="U140" s="61">
        <v>0.07076797751063696</v>
      </c>
      <c r="V140" s="60">
        <v>0.13956332847045474</v>
      </c>
    </row>
    <row r="141" spans="12:22" ht="15.75">
      <c r="L141" s="62"/>
      <c r="M141" s="53"/>
      <c r="N141" s="52" t="s">
        <v>123</v>
      </c>
      <c r="O141" s="53" t="s">
        <v>74</v>
      </c>
      <c r="P141" s="63">
        <v>2524.968701524823</v>
      </c>
      <c r="Q141" s="56">
        <v>39.1</v>
      </c>
      <c r="R141" s="58">
        <v>0.09658351068631672</v>
      </c>
      <c r="S141" s="58">
        <v>0.2702167883246389</v>
      </c>
      <c r="T141" s="58">
        <v>0.4156346583467337</v>
      </c>
      <c r="U141" s="59">
        <v>0.49485484126921836</v>
      </c>
      <c r="V141" s="58">
        <v>0.14433266203685513</v>
      </c>
    </row>
    <row r="142" spans="12:22" ht="15.75">
      <c r="L142" s="62"/>
      <c r="M142" s="55"/>
      <c r="N142" s="52" t="s">
        <v>123</v>
      </c>
      <c r="O142" s="55" t="s">
        <v>79</v>
      </c>
      <c r="P142" s="63">
        <v>799.2290250548773</v>
      </c>
      <c r="Q142" s="57">
        <v>23</v>
      </c>
      <c r="R142" s="60">
        <v>0.062458382553595586</v>
      </c>
      <c r="S142" s="60">
        <v>0.2212310933440442</v>
      </c>
      <c r="T142" s="60">
        <v>0.36015721528568667</v>
      </c>
      <c r="U142" s="61">
        <v>0.43429006186799174</v>
      </c>
      <c r="V142" s="60">
        <v>0.27960341348759143</v>
      </c>
    </row>
    <row r="143" spans="12:22" ht="15.75">
      <c r="L143" s="62"/>
      <c r="M143" s="53"/>
      <c r="N143" s="52" t="s">
        <v>123</v>
      </c>
      <c r="O143" s="53" t="s">
        <v>83</v>
      </c>
      <c r="P143" s="63">
        <v>158.36768566746147</v>
      </c>
      <c r="Q143" s="56">
        <v>6.8</v>
      </c>
      <c r="R143" s="58">
        <v>0.03565418669055054</v>
      </c>
      <c r="S143" s="58">
        <v>0.10617895157295819</v>
      </c>
      <c r="T143" s="58">
        <v>0.16377417622692444</v>
      </c>
      <c r="U143" s="59">
        <v>0.19237588642923423</v>
      </c>
      <c r="V143" s="58">
        <v>0.06425589689286033</v>
      </c>
    </row>
    <row r="144" spans="12:22" ht="15.75">
      <c r="L144" s="62"/>
      <c r="M144" s="55"/>
      <c r="N144" s="52" t="s">
        <v>123</v>
      </c>
      <c r="O144" s="55" t="s">
        <v>87</v>
      </c>
      <c r="P144" s="63">
        <v>660.519855417254</v>
      </c>
      <c r="Q144" s="57">
        <v>21.8</v>
      </c>
      <c r="R144" s="60">
        <v>0.05399532549676407</v>
      </c>
      <c r="S144" s="60">
        <v>0.18898363923867423</v>
      </c>
      <c r="T144" s="60">
        <v>0.2979930699585564</v>
      </c>
      <c r="U144" s="61">
        <v>0.3586104636766218</v>
      </c>
      <c r="V144" s="60">
        <v>0.14568550086862755</v>
      </c>
    </row>
    <row r="145" spans="12:22" ht="15.75">
      <c r="L145" s="62"/>
      <c r="M145" s="53"/>
      <c r="N145" s="52" t="s">
        <v>123</v>
      </c>
      <c r="O145" s="53" t="s">
        <v>91</v>
      </c>
      <c r="P145" s="63">
        <v>22.061834409834322</v>
      </c>
      <c r="Q145" s="56">
        <v>3.8</v>
      </c>
      <c r="R145" s="58">
        <v>0.010402903253652653</v>
      </c>
      <c r="S145" s="58">
        <v>0.036999004968179726</v>
      </c>
      <c r="T145" s="58">
        <v>0.0596694828134039</v>
      </c>
      <c r="U145" s="59">
        <v>0.07183891680824285</v>
      </c>
      <c r="V145" s="58">
        <v>0.03866739511263342</v>
      </c>
    </row>
    <row r="146" spans="12:22" ht="15.75">
      <c r="L146" s="62"/>
      <c r="M146" s="55"/>
      <c r="N146" s="54" t="s">
        <v>124</v>
      </c>
      <c r="O146" s="55" t="s">
        <v>74</v>
      </c>
      <c r="P146" s="63">
        <v>1720.2104733996268</v>
      </c>
      <c r="Q146" s="57">
        <v>30.3</v>
      </c>
      <c r="R146" s="60">
        <v>0.1677642163757239</v>
      </c>
      <c r="S146" s="60">
        <v>0.4635590189329212</v>
      </c>
      <c r="T146" s="60">
        <v>0.7041682239981041</v>
      </c>
      <c r="U146" s="61">
        <v>0.8664138806246267</v>
      </c>
      <c r="V146" s="60">
        <v>0.386299182444101</v>
      </c>
    </row>
    <row r="147" spans="12:22" ht="15.75">
      <c r="L147" s="62"/>
      <c r="M147" s="53"/>
      <c r="N147" s="54" t="s">
        <v>124</v>
      </c>
      <c r="O147" s="53" t="s">
        <v>79</v>
      </c>
      <c r="P147" s="63">
        <v>989.7980354216342</v>
      </c>
      <c r="Q147" s="56">
        <v>18.2</v>
      </c>
      <c r="R147" s="58">
        <v>0.14387368395288883</v>
      </c>
      <c r="S147" s="58">
        <v>0.36497368355696064</v>
      </c>
      <c r="T147" s="58">
        <v>0.5416421042932286</v>
      </c>
      <c r="U147" s="59">
        <v>0.6601263146073724</v>
      </c>
      <c r="V147" s="58">
        <v>0.24331578903797388</v>
      </c>
    </row>
    <row r="148" spans="12:22" ht="15.75">
      <c r="L148" s="62"/>
      <c r="M148" s="55"/>
      <c r="N148" s="54" t="s">
        <v>124</v>
      </c>
      <c r="O148" s="55" t="s">
        <v>83</v>
      </c>
      <c r="P148" s="63">
        <v>307.90749597833565</v>
      </c>
      <c r="Q148" s="57">
        <v>8.2</v>
      </c>
      <c r="R148" s="60">
        <v>0.061460860023059505</v>
      </c>
      <c r="S148" s="60">
        <v>0.15072544243750302</v>
      </c>
      <c r="T148" s="60">
        <v>0.22535648675121817</v>
      </c>
      <c r="U148" s="61">
        <v>0.2765738701037677</v>
      </c>
      <c r="V148" s="60">
        <v>0.12219004314108269</v>
      </c>
    </row>
    <row r="149" spans="12:22" ht="15.75">
      <c r="L149" s="62"/>
      <c r="M149" s="53"/>
      <c r="N149" s="54" t="s">
        <v>124</v>
      </c>
      <c r="O149" s="53" t="s">
        <v>87</v>
      </c>
      <c r="P149" s="63">
        <v>754.7676350249478</v>
      </c>
      <c r="Q149" s="56">
        <v>21.7</v>
      </c>
      <c r="R149" s="58">
        <v>0.10152066744634373</v>
      </c>
      <c r="S149" s="58">
        <v>0.2707217798569166</v>
      </c>
      <c r="T149" s="58">
        <v>0.4081130831343018</v>
      </c>
      <c r="U149" s="59">
        <v>0.5001584882856536</v>
      </c>
      <c r="V149" s="58">
        <v>0.187474832550915</v>
      </c>
    </row>
    <row r="150" spans="12:22" ht="15.75">
      <c r="L150" s="62"/>
      <c r="M150" s="55"/>
      <c r="N150" s="54" t="s">
        <v>124</v>
      </c>
      <c r="O150" s="55" t="s">
        <v>91</v>
      </c>
      <c r="P150" s="63">
        <v>339.79466141227203</v>
      </c>
      <c r="Q150" s="57">
        <v>13.6</v>
      </c>
      <c r="R150" s="60">
        <v>0.07679907981736941</v>
      </c>
      <c r="S150" s="60">
        <v>0.22067583694358037</v>
      </c>
      <c r="T150" s="60">
        <v>0.3431655085510303</v>
      </c>
      <c r="U150" s="61">
        <v>0.4257974298735164</v>
      </c>
      <c r="V150" s="60">
        <v>0.21484299543846383</v>
      </c>
    </row>
    <row r="151" spans="12:22" ht="15.75">
      <c r="L151" s="62"/>
      <c r="M151" s="53"/>
      <c r="N151" s="52" t="s">
        <v>125</v>
      </c>
      <c r="O151" s="53" t="s">
        <v>74</v>
      </c>
      <c r="P151" s="63">
        <v>855.2985999398212</v>
      </c>
      <c r="Q151" s="56">
        <v>16</v>
      </c>
      <c r="R151" s="58">
        <v>0.0524449830973229</v>
      </c>
      <c r="S151" s="58">
        <v>0.2126147963404982</v>
      </c>
      <c r="T151" s="58">
        <v>0.3699497456324669</v>
      </c>
      <c r="U151" s="59">
        <v>0.46916998392469944</v>
      </c>
      <c r="V151" s="58">
        <v>0.171509269048002</v>
      </c>
    </row>
    <row r="152" spans="12:22" ht="15.75">
      <c r="L152" s="62"/>
      <c r="M152" s="55"/>
      <c r="N152" s="52" t="s">
        <v>125</v>
      </c>
      <c r="O152" s="55" t="s">
        <v>79</v>
      </c>
      <c r="P152" s="63">
        <v>984.2295624431462</v>
      </c>
      <c r="Q152" s="57">
        <v>18.1</v>
      </c>
      <c r="R152" s="60">
        <v>0.06918816282494834</v>
      </c>
      <c r="S152" s="60">
        <v>0.27386981118208725</v>
      </c>
      <c r="T152" s="60">
        <v>0.4655786790095482</v>
      </c>
      <c r="U152" s="61">
        <v>0.5967479043651794</v>
      </c>
      <c r="V152" s="60">
        <v>0.26377987077011583</v>
      </c>
    </row>
    <row r="153" spans="12:22" ht="15.75">
      <c r="L153" s="62"/>
      <c r="M153" s="53"/>
      <c r="N153" s="52" t="s">
        <v>125</v>
      </c>
      <c r="O153" s="53" t="s">
        <v>83</v>
      </c>
      <c r="P153" s="63">
        <v>130.69810837096938</v>
      </c>
      <c r="Q153" s="56">
        <v>3.3</v>
      </c>
      <c r="R153" s="58">
        <v>0.017829794151049006</v>
      </c>
      <c r="S153" s="58">
        <v>0.0681727423422462</v>
      </c>
      <c r="T153" s="58">
        <v>0.11956450195409339</v>
      </c>
      <c r="U153" s="59">
        <v>0.15732171309749124</v>
      </c>
      <c r="V153" s="58">
        <v>0.08180729081069554</v>
      </c>
    </row>
    <row r="154" spans="12:22" ht="15.75">
      <c r="L154" s="62"/>
      <c r="M154" s="55"/>
      <c r="N154" s="52" t="s">
        <v>125</v>
      </c>
      <c r="O154" s="55" t="s">
        <v>87</v>
      </c>
      <c r="P154" s="63">
        <v>759.644957619646</v>
      </c>
      <c r="Q154" s="57">
        <v>21.8</v>
      </c>
      <c r="R154" s="60">
        <v>0.045267082839695744</v>
      </c>
      <c r="S154" s="60">
        <v>0.18938269351301276</v>
      </c>
      <c r="T154" s="60">
        <v>0.32795539608350993</v>
      </c>
      <c r="U154" s="61">
        <v>0.42495628788285794</v>
      </c>
      <c r="V154" s="60">
        <v>0.20601141782147256</v>
      </c>
    </row>
    <row r="155" spans="12:22" ht="15.75">
      <c r="L155" s="62"/>
      <c r="M155" s="53"/>
      <c r="N155" s="52" t="s">
        <v>125</v>
      </c>
      <c r="O155" s="53" t="s">
        <v>91</v>
      </c>
      <c r="P155" s="63">
        <v>339.79466141227203</v>
      </c>
      <c r="Q155" s="56">
        <v>13.3</v>
      </c>
      <c r="R155" s="58">
        <v>0.03318556390275495</v>
      </c>
      <c r="S155" s="58">
        <v>0.14764189654695056</v>
      </c>
      <c r="T155" s="58">
        <v>0.26142097278496756</v>
      </c>
      <c r="U155" s="59">
        <v>0.3359191774646215</v>
      </c>
      <c r="V155" s="58">
        <v>0.24313504981814335</v>
      </c>
    </row>
    <row r="156" ht="15.75">
      <c r="L156" s="62"/>
    </row>
    <row r="157" ht="15.75">
      <c r="L157" s="62"/>
    </row>
    <row r="158" ht="15.75">
      <c r="L158" s="62"/>
    </row>
    <row r="159" ht="15.75">
      <c r="L159" s="62"/>
    </row>
    <row r="160" ht="15.75">
      <c r="L160" s="62"/>
    </row>
    <row r="161" ht="15.75">
      <c r="L161" s="62"/>
    </row>
    <row r="162" ht="15.75">
      <c r="L162" s="62"/>
    </row>
    <row r="163" ht="15.75">
      <c r="L163" s="62"/>
    </row>
    <row r="164" ht="15.75">
      <c r="L164" s="62"/>
    </row>
    <row r="165" ht="15.75">
      <c r="L165" s="62"/>
    </row>
    <row r="166" ht="15.75">
      <c r="L166" s="62"/>
    </row>
    <row r="167" ht="15.75">
      <c r="L167" s="62"/>
    </row>
    <row r="168" ht="15.75">
      <c r="L168" s="62"/>
    </row>
    <row r="169" ht="15.75">
      <c r="L169" s="62"/>
    </row>
    <row r="170" ht="15.75">
      <c r="L170" s="62"/>
    </row>
    <row r="171" ht="15.75">
      <c r="L171" s="62"/>
    </row>
    <row r="172" ht="15.75">
      <c r="L172" s="62"/>
    </row>
    <row r="173" ht="15.75">
      <c r="L173" s="62"/>
    </row>
    <row r="174" ht="15.75">
      <c r="L174" s="62"/>
    </row>
    <row r="175" ht="15.75">
      <c r="L175" s="62"/>
    </row>
    <row r="176" ht="15.75">
      <c r="L176" s="62"/>
    </row>
    <row r="177" ht="15.75">
      <c r="L177" s="62"/>
    </row>
    <row r="178" ht="15.75">
      <c r="L178" s="62"/>
    </row>
    <row r="179" ht="15.75">
      <c r="L179" s="62"/>
    </row>
    <row r="180" ht="15.75">
      <c r="L180" s="62"/>
    </row>
    <row r="181" ht="15.75">
      <c r="L181" s="62"/>
    </row>
    <row r="182" ht="15.75">
      <c r="L182" s="62"/>
    </row>
  </sheetData>
  <printOptions/>
  <pageMargins left="0.7" right="0.7" top="0.75" bottom="0.75" header="0.3" footer="0.3"/>
  <pageSetup horizontalDpi="600" verticalDpi="600" orientation="portrait" paperSize="0" copies="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ject xmlns="80727368-2d85-4693-8aca-8c33fb2339f5" xsi:nil="true"/>
    <IconOverlay xmlns="http://schemas.microsoft.com/sharepoint/v4" xsi:nil="true"/>
    <SharedWithUsers xmlns="80727368-2d85-4693-8aca-8c33fb2339f5">
      <UserInfo>
        <DisplayName>Ari Daniels</DisplayName>
        <AccountId>47</AccountId>
        <AccountType/>
      </UserInfo>
      <UserInfo>
        <DisplayName>Reid Christianson</DisplayName>
        <AccountId>21</AccountId>
        <AccountType/>
      </UserInfo>
      <UserInfo>
        <DisplayName>Chris Swann</DisplayName>
        <AccountId>13</AccountId>
        <AccountType/>
      </UserInfo>
      <UserInfo>
        <DisplayName>Karen Cappiella</DisplayName>
        <AccountId>33</AccountId>
        <AccountType/>
      </UserInfo>
      <UserInfo>
        <DisplayName>Neely Law</DisplayName>
        <AccountId>26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15" ma:contentTypeDescription="" ma:contentTypeScope="" ma:versionID="bfb6b22dab382251b0c02c8e386de916">
  <xsd:schema xmlns:xsd="http://www.w3.org/2001/XMLSchema" xmlns:xs="http://www.w3.org/2001/XMLSchema" xmlns:p="http://schemas.microsoft.com/office/2006/metadata/properties" xmlns:ns2="80727368-2d85-4693-8aca-8c33fb2339f5" xmlns:ns3="http://schemas.microsoft.com/sharepoint/v4" xmlns:ns4="b031f331-093e-4af9-b9a8-5fb9941cd8bc" targetNamespace="http://schemas.microsoft.com/office/2006/metadata/properties" ma:root="true" ma:fieldsID="5c93f44f4009ca46a104534810bbd433" ns2:_="" ns3:_="" ns4:_="">
    <xsd:import namespace="80727368-2d85-4693-8aca-8c33fb2339f5"/>
    <xsd:import namespace="http://schemas.microsoft.com/sharepoint/v4"/>
    <xsd:import namespace="b031f331-093e-4af9-b9a8-5fb9941cd8bc"/>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31f331-093e-4af9-b9a8-5fb9941cd8b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80109-70D2-49CD-BAE7-61E47D9B0B08}">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4"/>
    <ds:schemaRef ds:uri="http://schemas.microsoft.com/office/2006/documentManagement/types"/>
    <ds:schemaRef ds:uri="b031f331-093e-4af9-b9a8-5fb9941cd8bc"/>
    <ds:schemaRef ds:uri="80727368-2d85-4693-8aca-8c33fb2339f5"/>
    <ds:schemaRef ds:uri="http://www.w3.org/XML/1998/namespace"/>
    <ds:schemaRef ds:uri="http://purl.org/dc/dcmitype/"/>
  </ds:schemaRefs>
</ds:datastoreItem>
</file>

<file path=customXml/itemProps2.xml><?xml version="1.0" encoding="utf-8"?>
<ds:datastoreItem xmlns:ds="http://schemas.openxmlformats.org/officeDocument/2006/customXml" ds:itemID="{D1B8AD96-CB43-4701-8FB0-B0460AE0D05C}">
  <ds:schemaRefs>
    <ds:schemaRef ds:uri="http://schemas.microsoft.com/sharepoint/v3/contenttype/forms"/>
  </ds:schemaRefs>
</ds:datastoreItem>
</file>

<file path=customXml/itemProps3.xml><?xml version="1.0" encoding="utf-8"?>
<ds:datastoreItem xmlns:ds="http://schemas.openxmlformats.org/officeDocument/2006/customXml" ds:itemID="{AC3D5768-7ABE-4C92-A53B-EB0F31E03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27368-2d85-4693-8aca-8c33fb2339f5"/>
    <ds:schemaRef ds:uri="http://schemas.microsoft.com/sharepoint/v4"/>
    <ds:schemaRef ds:uri="b031f331-093e-4af9-b9a8-5fb9941cd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Mawhorter, Julie -FS</cp:lastModifiedBy>
  <dcterms:created xsi:type="dcterms:W3CDTF">2017-04-06T05:49:47Z</dcterms:created>
  <dcterms:modified xsi:type="dcterms:W3CDTF">2018-06-08T18:20:45Z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ies>
</file>