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hartel\Desktop\Desktop Folders\UF Program Audit\Austin - Emily King\2017 Revision\"/>
    </mc:Choice>
  </mc:AlternateContent>
  <bookViews>
    <workbookView xWindow="1212" yWindow="3672" windowWidth="20328" windowHeight="9576" tabRatio="840"/>
  </bookViews>
  <sheets>
    <sheet name="TOC - Quick Access" sheetId="17" r:id="rId1"/>
    <sheet name="UF Review Instructions" sheetId="1" r:id="rId2"/>
    <sheet name="Review Information" sheetId="14" r:id="rId3"/>
    <sheet name="Discovery Matrix &amp; Gaps" sheetId="27" r:id="rId4"/>
    <sheet name="Policy &amp; Ordinances" sheetId="16" r:id="rId5"/>
    <sheet name="Capacity &amp; Training" sheetId="3" r:id="rId6"/>
    <sheet name="Funding &amp; Accounting" sheetId="4" r:id="rId7"/>
    <sheet name="Authority" sheetId="5" r:id="rId8"/>
    <sheet name="Inventories" sheetId="6" r:id="rId9"/>
    <sheet name="Urban Forest Management Plans" sheetId="7" r:id="rId10"/>
    <sheet name="Risk Management" sheetId="8" r:id="rId11"/>
    <sheet name="Disaster Planning" sheetId="9" r:id="rId12"/>
    <sheet name="Practices (Standards &amp; BMPS)" sheetId="10" r:id="rId13"/>
    <sheet name="Community" sheetId="11" r:id="rId14"/>
    <sheet name="Green Asset Evaluation " sheetId="12" r:id="rId15"/>
    <sheet name="Overall Management Evaluation" sheetId="13" r:id="rId16"/>
    <sheet name="Standard of Care" sheetId="19" r:id="rId17"/>
    <sheet name="Just the Basics" sheetId="20" r:id="rId18"/>
    <sheet name="Management Level" sheetId="22" r:id="rId19"/>
    <sheet name="Report" sheetId="24" r:id="rId20"/>
    <sheet name="Workbook Operation" sheetId="21" r:id="rId21"/>
    <sheet name="Tutorials" sheetId="25" r:id="rId22"/>
    <sheet name="About" sheetId="18" r:id="rId23"/>
    <sheet name="Dropdown Lists" sheetId="15" r:id="rId24"/>
  </sheets>
  <definedNames>
    <definedName name="_2__Adopted_Common_Practice" comment="Select an evaluation goal for your community or campus.">'Review Information'!$C$9</definedName>
    <definedName name="_ftn1" localSheetId="4">'Policy &amp; Ordinances'!#REF!</definedName>
    <definedName name="_ftn1" localSheetId="2">'Review Information'!#REF!</definedName>
    <definedName name="_ftn2" localSheetId="4">'Policy &amp; Ordinances'!#REF!</definedName>
    <definedName name="_ftn2" localSheetId="2">'Review Information'!#REF!</definedName>
    <definedName name="_ftn3" localSheetId="4">'Policy &amp; Ordinances'!#REF!</definedName>
    <definedName name="_ftn3" localSheetId="2">'Review Information'!#REF!</definedName>
    <definedName name="_ftnref1" localSheetId="4">'Policy &amp; Ordinances'!$D$13</definedName>
    <definedName name="_ftnref1" localSheetId="2">'Review Information'!#REF!</definedName>
    <definedName name="_ftnref2" localSheetId="4">'Policy &amp; Ordinances'!$D$14</definedName>
    <definedName name="_ftnref2" localSheetId="2">'Review Information'!#REF!</definedName>
    <definedName name="_ftnref3" localSheetId="4">'Policy &amp; Ordinances'!$B$21</definedName>
    <definedName name="_ftnref3" localSheetId="2">'Review Information'!#REF!</definedName>
    <definedName name="Entity">'Dropdown Lists'!$A$7:$A$10</definedName>
    <definedName name="Evaluate">'Dropdown Lists'!$B$7:$B$10</definedName>
    <definedName name="Evaluation">'Dropdown Lists'!$B$7:$B$10</definedName>
    <definedName name="_xlnm.Print_Area" localSheetId="3">'Discovery Matrix &amp; Gaps'!$B$16:$H$34</definedName>
    <definedName name="_xlnm.Print_Area" localSheetId="4">'Policy &amp; Ordinances'!$A$1:$E$30</definedName>
    <definedName name="_xlnm.Print_Area" localSheetId="0">'TOC - Quick Access'!$A$1:$O$36</definedName>
    <definedName name="_xlnm.Print_Area" localSheetId="1">'UF Review Instructions'!$A$1:$B$29</definedName>
  </definedNames>
  <calcPr calcId="152511"/>
</workbook>
</file>

<file path=xl/calcChain.xml><?xml version="1.0" encoding="utf-8"?>
<calcChain xmlns="http://schemas.openxmlformats.org/spreadsheetml/2006/main">
  <c r="B52" i="27" l="1"/>
  <c r="B53" i="27" s="1"/>
  <c r="B54" i="27" s="1"/>
  <c r="B45" i="27"/>
  <c r="B46" i="27" s="1"/>
  <c r="B47" i="27" s="1"/>
  <c r="B48" i="27" s="1"/>
  <c r="B49" i="27" s="1"/>
  <c r="B35" i="27"/>
  <c r="B36" i="27" s="1"/>
  <c r="B37" i="27" s="1"/>
  <c r="B38" i="27" s="1"/>
  <c r="B39" i="27" s="1"/>
  <c r="B40" i="27" s="1"/>
  <c r="B41" i="27" s="1"/>
  <c r="B42" i="27" s="1"/>
  <c r="B19" i="27"/>
  <c r="B20" i="27" s="1"/>
  <c r="B21" i="27" s="1"/>
  <c r="B22" i="27" s="1"/>
  <c r="B23" i="27" s="1"/>
  <c r="B24" i="27" s="1"/>
  <c r="B25" i="27" s="1"/>
  <c r="B26" i="27" s="1"/>
  <c r="B27" i="27" s="1"/>
  <c r="B28" i="27" s="1"/>
  <c r="B29" i="27" s="1"/>
  <c r="B30" i="27" s="1"/>
  <c r="B31" i="27" s="1"/>
  <c r="B32" i="27" s="1"/>
  <c r="C149" i="27"/>
  <c r="C148" i="27"/>
  <c r="C147" i="27"/>
  <c r="C146" i="27"/>
  <c r="C145" i="27"/>
  <c r="C144" i="27"/>
  <c r="C143" i="27"/>
  <c r="C142" i="27"/>
  <c r="C141" i="27"/>
  <c r="C140" i="27"/>
  <c r="C139" i="27"/>
  <c r="C138" i="27"/>
  <c r="C137" i="27"/>
  <c r="C136" i="27"/>
  <c r="C135" i="27"/>
  <c r="C133" i="27"/>
  <c r="C132" i="27"/>
  <c r="C131" i="27"/>
  <c r="C130" i="27"/>
  <c r="C129" i="27"/>
  <c r="C128" i="27"/>
  <c r="C127" i="27"/>
  <c r="C126" i="27"/>
  <c r="C125" i="27"/>
  <c r="C124" i="27"/>
  <c r="C123" i="27"/>
  <c r="C122" i="27"/>
  <c r="C121" i="27"/>
  <c r="C120" i="27"/>
  <c r="C119" i="27"/>
  <c r="C118" i="27"/>
  <c r="C117" i="27"/>
  <c r="C116" i="27"/>
  <c r="C115" i="27"/>
  <c r="C114" i="27"/>
  <c r="C113" i="27"/>
  <c r="C112" i="27"/>
  <c r="C111" i="27"/>
  <c r="C110" i="27"/>
  <c r="C109" i="27"/>
  <c r="C108" i="27"/>
  <c r="C107" i="27"/>
  <c r="C106" i="27"/>
  <c r="C105" i="27"/>
  <c r="C103" i="27"/>
  <c r="C102" i="27"/>
  <c r="C101" i="27"/>
  <c r="C100" i="27"/>
  <c r="C99" i="27"/>
  <c r="C98" i="27"/>
  <c r="C97" i="27"/>
  <c r="C95" i="27"/>
  <c r="C94" i="27"/>
  <c r="C93" i="27"/>
  <c r="C92" i="27"/>
  <c r="C91" i="27"/>
  <c r="C90" i="27"/>
  <c r="C89" i="27"/>
  <c r="C88" i="27"/>
  <c r="C87" i="27"/>
  <c r="C85" i="27"/>
  <c r="C84" i="27"/>
  <c r="C83" i="27"/>
  <c r="C82" i="27"/>
  <c r="C81" i="27"/>
  <c r="C80" i="27"/>
  <c r="C79" i="27"/>
  <c r="C78" i="27"/>
  <c r="C77" i="27"/>
  <c r="C76" i="27"/>
  <c r="C75" i="27"/>
  <c r="C74" i="27"/>
  <c r="C73" i="27"/>
  <c r="C72" i="27"/>
  <c r="C70" i="27"/>
  <c r="C69" i="27"/>
  <c r="C68" i="27"/>
  <c r="C67" i="27"/>
  <c r="C66" i="27"/>
  <c r="C65" i="27"/>
  <c r="C64" i="27"/>
  <c r="C63" i="27"/>
  <c r="C62" i="27"/>
  <c r="C61" i="27"/>
  <c r="C60" i="27"/>
  <c r="C59" i="27"/>
  <c r="C58" i="27"/>
  <c r="C57" i="27"/>
  <c r="C56" i="27"/>
  <c r="C54" i="27"/>
  <c r="C53" i="27"/>
  <c r="C52" i="27"/>
  <c r="C51" i="27"/>
  <c r="C49" i="27"/>
  <c r="C48" i="27"/>
  <c r="C47" i="27"/>
  <c r="C46" i="27"/>
  <c r="C45" i="27"/>
  <c r="C44" i="27"/>
  <c r="C42" i="27"/>
  <c r="C41" i="27"/>
  <c r="C40" i="27"/>
  <c r="C39" i="27"/>
  <c r="C38" i="27"/>
  <c r="C37" i="27"/>
  <c r="C36" i="27"/>
  <c r="C35" i="27"/>
  <c r="C34" i="27"/>
  <c r="C32" i="27"/>
  <c r="C31" i="27"/>
  <c r="C30" i="27"/>
  <c r="F23" i="20" l="1"/>
  <c r="D23" i="20"/>
  <c r="C23" i="20"/>
  <c r="C22" i="20"/>
  <c r="D29" i="19"/>
  <c r="I32" i="19"/>
  <c r="D28" i="19"/>
  <c r="F28" i="19" s="1"/>
  <c r="C28" i="19"/>
  <c r="B28" i="19"/>
  <c r="B23" i="12"/>
  <c r="A23" i="11"/>
  <c r="B28" i="11"/>
  <c r="B42" i="10"/>
  <c r="A36" i="10"/>
  <c r="A27" i="10"/>
  <c r="A31" i="10"/>
  <c r="B20" i="9"/>
  <c r="L20" i="9"/>
  <c r="A18" i="9"/>
  <c r="B22" i="8"/>
  <c r="L22" i="8"/>
  <c r="A20" i="8"/>
  <c r="B27" i="7"/>
  <c r="B28" i="6"/>
  <c r="L28" i="6"/>
  <c r="A24" i="6"/>
  <c r="B22" i="3"/>
  <c r="L22" i="3"/>
  <c r="A20" i="3"/>
  <c r="L27" i="16"/>
  <c r="B27" i="16"/>
  <c r="A25" i="16"/>
  <c r="Q134" i="27" l="1"/>
  <c r="P134" i="27"/>
  <c r="N134" i="27"/>
  <c r="M134" i="27"/>
  <c r="K134" i="27"/>
  <c r="J134" i="27"/>
  <c r="I134" i="27"/>
  <c r="R86" i="27"/>
  <c r="Q86" i="27"/>
  <c r="P86" i="27"/>
  <c r="N86" i="27"/>
  <c r="K86" i="27"/>
  <c r="J86" i="27"/>
  <c r="I86" i="27"/>
  <c r="M86" i="27"/>
  <c r="L134" i="27"/>
  <c r="L86" i="27"/>
  <c r="O134" i="27"/>
  <c r="R134" i="27" l="1"/>
  <c r="O86" i="27"/>
  <c r="R33" i="27"/>
  <c r="Q33" i="27"/>
  <c r="P33" i="27"/>
  <c r="O33" i="27"/>
  <c r="N33" i="27"/>
  <c r="M33" i="27"/>
  <c r="L33" i="27"/>
  <c r="K33" i="27"/>
  <c r="I33" i="27"/>
  <c r="R71" i="27" l="1"/>
  <c r="Q71" i="27"/>
  <c r="P71" i="27"/>
  <c r="O71" i="27"/>
  <c r="N71" i="27"/>
  <c r="M71" i="27"/>
  <c r="L71" i="27"/>
  <c r="K71" i="27"/>
  <c r="J71" i="27"/>
  <c r="I71" i="27"/>
  <c r="R55" i="27"/>
  <c r="Q55" i="27"/>
  <c r="P55" i="27"/>
  <c r="O55" i="27"/>
  <c r="N55" i="27"/>
  <c r="M55" i="27"/>
  <c r="L55" i="27"/>
  <c r="K55" i="27"/>
  <c r="J55" i="27"/>
  <c r="I55" i="27"/>
  <c r="R50" i="27"/>
  <c r="Q50" i="27"/>
  <c r="P50" i="27"/>
  <c r="O50" i="27"/>
  <c r="N50" i="27"/>
  <c r="M50" i="27"/>
  <c r="L50" i="27"/>
  <c r="K50" i="27"/>
  <c r="J50" i="27"/>
  <c r="I50" i="27"/>
  <c r="R96" i="27"/>
  <c r="Q96" i="27"/>
  <c r="P96" i="27"/>
  <c r="O96" i="27"/>
  <c r="N96" i="27"/>
  <c r="M96" i="27"/>
  <c r="L96" i="27"/>
  <c r="K96" i="27"/>
  <c r="J96" i="27"/>
  <c r="I96" i="27"/>
  <c r="R104" i="27"/>
  <c r="Q104" i="27"/>
  <c r="P104" i="27"/>
  <c r="O104" i="27"/>
  <c r="N104" i="27"/>
  <c r="M104" i="27"/>
  <c r="L104" i="27"/>
  <c r="K104" i="27"/>
  <c r="J104" i="27"/>
  <c r="I104" i="27"/>
  <c r="B136" i="27"/>
  <c r="B137" i="27" s="1"/>
  <c r="B138" i="27" s="1"/>
  <c r="B139" i="27" s="1"/>
  <c r="B140" i="27" s="1"/>
  <c r="B141" i="27" s="1"/>
  <c r="B142" i="27" s="1"/>
  <c r="B143" i="27" s="1"/>
  <c r="B144" i="27" s="1"/>
  <c r="B145" i="27" s="1"/>
  <c r="B146" i="27" s="1"/>
  <c r="B147" i="27" s="1"/>
  <c r="B148" i="27" s="1"/>
  <c r="B149" i="27" s="1"/>
  <c r="B134" i="27"/>
  <c r="B106" i="27"/>
  <c r="B107" i="27" s="1"/>
  <c r="B108" i="27" s="1"/>
  <c r="B109" i="27" s="1"/>
  <c r="B110" i="27" s="1"/>
  <c r="B111" i="27" s="1"/>
  <c r="B112" i="27" s="1"/>
  <c r="B113" i="27" s="1"/>
  <c r="B114" i="27" s="1"/>
  <c r="B115" i="27" s="1"/>
  <c r="B116" i="27" s="1"/>
  <c r="B117" i="27" s="1"/>
  <c r="B118" i="27" s="1"/>
  <c r="B119" i="27" s="1"/>
  <c r="B120" i="27" s="1"/>
  <c r="B121" i="27" s="1"/>
  <c r="B122" i="27" s="1"/>
  <c r="B123" i="27" s="1"/>
  <c r="B124" i="27" s="1"/>
  <c r="B125" i="27" s="1"/>
  <c r="B126" i="27" s="1"/>
  <c r="B127" i="27" s="1"/>
  <c r="B128" i="27" s="1"/>
  <c r="B129" i="27" s="1"/>
  <c r="B130" i="27" s="1"/>
  <c r="B131" i="27" s="1"/>
  <c r="B132" i="27" s="1"/>
  <c r="B133" i="27" s="1"/>
  <c r="B104" i="27"/>
  <c r="B98" i="27"/>
  <c r="B99" i="27" s="1"/>
  <c r="B100" i="27" s="1"/>
  <c r="B101" i="27" s="1"/>
  <c r="B102" i="27" s="1"/>
  <c r="B103" i="27" s="1"/>
  <c r="B96" i="27"/>
  <c r="B88" i="27"/>
  <c r="B89" i="27" s="1"/>
  <c r="B90" i="27" s="1"/>
  <c r="B91" i="27" s="1"/>
  <c r="B92" i="27" s="1"/>
  <c r="B93" i="27" s="1"/>
  <c r="B94" i="27" s="1"/>
  <c r="B95" i="27" s="1"/>
  <c r="B86" i="27"/>
  <c r="B73" i="27"/>
  <c r="B74" i="27" s="1"/>
  <c r="B75" i="27" s="1"/>
  <c r="B76" i="27" s="1"/>
  <c r="B77" i="27" s="1"/>
  <c r="B78" i="27" s="1"/>
  <c r="B79" i="27" s="1"/>
  <c r="B80" i="27" s="1"/>
  <c r="B81" i="27" s="1"/>
  <c r="B82" i="27" s="1"/>
  <c r="B83" i="27" s="1"/>
  <c r="B84" i="27" s="1"/>
  <c r="B85" i="27" s="1"/>
  <c r="B71" i="27"/>
  <c r="B57" i="27"/>
  <c r="B58" i="27" s="1"/>
  <c r="B59" i="27" s="1"/>
  <c r="B60" i="27" s="1"/>
  <c r="B61" i="27" s="1"/>
  <c r="B62" i="27" s="1"/>
  <c r="B63" i="27" s="1"/>
  <c r="B64" i="27" s="1"/>
  <c r="B65" i="27" s="1"/>
  <c r="B66" i="27" s="1"/>
  <c r="B67" i="27" s="1"/>
  <c r="B68" i="27" s="1"/>
  <c r="B69" i="27" s="1"/>
  <c r="B70" i="27" s="1"/>
  <c r="B55" i="27"/>
  <c r="B50" i="27"/>
  <c r="R43" i="27"/>
  <c r="Q43" i="27"/>
  <c r="P43" i="27"/>
  <c r="O43" i="27"/>
  <c r="N43" i="27"/>
  <c r="M43" i="27"/>
  <c r="L43" i="27"/>
  <c r="K43" i="27"/>
  <c r="J43" i="27"/>
  <c r="I43" i="27"/>
  <c r="B43" i="27"/>
  <c r="J33" i="27"/>
  <c r="R17" i="27"/>
  <c r="Q17" i="27"/>
  <c r="P17" i="27"/>
  <c r="O17" i="27"/>
  <c r="N17" i="27"/>
  <c r="M17" i="27"/>
  <c r="L17" i="27"/>
  <c r="K17" i="27"/>
  <c r="J17" i="27"/>
  <c r="I17" i="27"/>
  <c r="B33" i="27"/>
  <c r="B17" i="27" l="1"/>
  <c r="C29" i="27"/>
  <c r="C28" i="27"/>
  <c r="C27" i="27"/>
  <c r="C26" i="27"/>
  <c r="C25" i="27"/>
  <c r="C24" i="27"/>
  <c r="C23" i="27"/>
  <c r="C22" i="27"/>
  <c r="C21" i="27"/>
  <c r="C20" i="27"/>
  <c r="C19" i="27"/>
  <c r="A158" i="27"/>
  <c r="C6" i="27"/>
  <c r="E5" i="27"/>
  <c r="C5" i="27"/>
  <c r="E4" i="27"/>
  <c r="C4" i="27"/>
  <c r="A1" i="27"/>
  <c r="J4" i="17" l="1"/>
  <c r="B17" i="5"/>
  <c r="B19" i="4"/>
  <c r="A56" i="25" l="1"/>
  <c r="C6" i="25"/>
  <c r="E5" i="25"/>
  <c r="C5" i="25"/>
  <c r="E4" i="25"/>
  <c r="C4" i="25"/>
  <c r="A1" i="25"/>
  <c r="A56" i="24"/>
  <c r="C6" i="24" l="1"/>
  <c r="E5" i="24"/>
  <c r="C5" i="24"/>
  <c r="E4" i="24"/>
  <c r="C4" i="24"/>
  <c r="A1" i="24"/>
  <c r="B11" i="17" l="1"/>
  <c r="B12" i="17" s="1"/>
  <c r="B13" i="17" s="1"/>
  <c r="B14" i="17" s="1"/>
  <c r="B15" i="17" s="1"/>
  <c r="B16" i="17" s="1"/>
  <c r="B17" i="17" s="1"/>
  <c r="B18" i="17" s="1"/>
  <c r="B19" i="17" s="1"/>
  <c r="B20" i="17" s="1"/>
  <c r="B21" i="17" s="1"/>
  <c r="B22" i="17" s="1"/>
  <c r="B23" i="17" s="1"/>
  <c r="B24" i="17" s="1"/>
  <c r="B25" i="17" s="1"/>
  <c r="B26" i="17" s="1"/>
  <c r="B27" i="17" s="1"/>
  <c r="B28" i="17" s="1"/>
  <c r="B29" i="17" l="1"/>
  <c r="B30" i="17" s="1"/>
  <c r="B31" i="17" s="1"/>
  <c r="B32" i="17" s="1"/>
  <c r="B33" i="17" s="1"/>
  <c r="D22" i="20"/>
  <c r="F22" i="20" s="1"/>
  <c r="D21" i="20"/>
  <c r="F21" i="20" s="1"/>
  <c r="D20" i="20"/>
  <c r="F20" i="20" s="1"/>
  <c r="D19" i="20"/>
  <c r="F19" i="20" s="1"/>
  <c r="D18" i="20"/>
  <c r="F18" i="20" s="1"/>
  <c r="C18" i="20"/>
  <c r="D17" i="20"/>
  <c r="F17" i="20" s="1"/>
  <c r="D40" i="20"/>
  <c r="F40" i="20" s="1"/>
  <c r="C40" i="20"/>
  <c r="D39" i="20"/>
  <c r="F39" i="20" s="1"/>
  <c r="C39" i="20"/>
  <c r="D38" i="20"/>
  <c r="F38" i="20" s="1"/>
  <c r="C38" i="20"/>
  <c r="D37" i="20"/>
  <c r="F37" i="20" s="1"/>
  <c r="C37" i="20"/>
  <c r="D36" i="20"/>
  <c r="F36" i="20" s="1"/>
  <c r="C36" i="20"/>
  <c r="D35" i="20"/>
  <c r="F35" i="20" s="1"/>
  <c r="C35" i="20"/>
  <c r="D34" i="20"/>
  <c r="C34" i="20"/>
  <c r="D33" i="20"/>
  <c r="F33" i="20" s="1"/>
  <c r="C33" i="20"/>
  <c r="D32" i="20"/>
  <c r="F32" i="20" s="1"/>
  <c r="C32" i="20"/>
  <c r="D31" i="20"/>
  <c r="F31" i="20" s="1"/>
  <c r="C31" i="20"/>
  <c r="D29" i="20"/>
  <c r="F29" i="20" s="1"/>
  <c r="C29" i="20"/>
  <c r="D28" i="20"/>
  <c r="C28" i="20"/>
  <c r="D27" i="20"/>
  <c r="F27" i="20" s="1"/>
  <c r="C27" i="20"/>
  <c r="D26" i="20"/>
  <c r="F26" i="20" s="1"/>
  <c r="C26" i="20"/>
  <c r="D25" i="20"/>
  <c r="F25" i="20" s="1"/>
  <c r="C25" i="20"/>
  <c r="D24" i="20"/>
  <c r="F24" i="20" s="1"/>
  <c r="C24" i="20"/>
  <c r="C21" i="20"/>
  <c r="C20" i="20"/>
  <c r="C19" i="20"/>
  <c r="C17" i="20"/>
  <c r="F34" i="20"/>
  <c r="F28" i="20"/>
  <c r="A24" i="20"/>
  <c r="A31" i="20"/>
  <c r="D30" i="20"/>
  <c r="F30" i="20" s="1"/>
  <c r="C30" i="20"/>
  <c r="D16" i="20"/>
  <c r="F16" i="20" s="1"/>
  <c r="C16" i="20"/>
  <c r="A16" i="20"/>
  <c r="D15" i="20"/>
  <c r="F15" i="20" s="1"/>
  <c r="C15" i="20"/>
  <c r="D14" i="20"/>
  <c r="F14" i="20" s="1"/>
  <c r="C14" i="20"/>
  <c r="D13" i="20"/>
  <c r="F13" i="20" s="1"/>
  <c r="C13" i="20"/>
  <c r="D12" i="20"/>
  <c r="F12" i="20" s="1"/>
  <c r="C12" i="20"/>
  <c r="A46" i="20"/>
  <c r="I43" i="20"/>
  <c r="A34" i="20"/>
  <c r="A30" i="20"/>
  <c r="A15" i="20"/>
  <c r="A12" i="20"/>
  <c r="C7" i="20"/>
  <c r="C6" i="20"/>
  <c r="F5" i="20"/>
  <c r="C5" i="20"/>
  <c r="F4" i="20"/>
  <c r="C4" i="20"/>
  <c r="A1" i="20"/>
  <c r="D26" i="19"/>
  <c r="F26" i="19" s="1"/>
  <c r="C26" i="19"/>
  <c r="F29" i="19"/>
  <c r="D27" i="19"/>
  <c r="F27" i="19" s="1"/>
  <c r="C27" i="19"/>
  <c r="A27" i="19"/>
  <c r="D25" i="19"/>
  <c r="F25" i="19" s="1"/>
  <c r="D24" i="19"/>
  <c r="F24" i="19" s="1"/>
  <c r="C25" i="19"/>
  <c r="C24" i="19"/>
  <c r="D23" i="19"/>
  <c r="F23" i="19" s="1"/>
  <c r="D22" i="19"/>
  <c r="F22" i="19" s="1"/>
  <c r="C23" i="19"/>
  <c r="C22" i="19"/>
  <c r="D21" i="19"/>
  <c r="F21" i="19" s="1"/>
  <c r="C21" i="19"/>
  <c r="A21" i="19"/>
  <c r="A19" i="19"/>
  <c r="A17" i="19"/>
  <c r="A14" i="19"/>
  <c r="A12" i="19"/>
  <c r="D20" i="19"/>
  <c r="F20" i="19" s="1"/>
  <c r="C20" i="19"/>
  <c r="C19" i="19"/>
  <c r="D19" i="19"/>
  <c r="F19" i="19" s="1"/>
  <c r="D18" i="19"/>
  <c r="F18" i="19" s="1"/>
  <c r="C18" i="19"/>
  <c r="D17" i="19"/>
  <c r="F17" i="19" s="1"/>
  <c r="C17" i="19"/>
  <c r="M29" i="4"/>
  <c r="K29" i="4"/>
  <c r="J29" i="4"/>
  <c r="H29" i="4"/>
  <c r="I29" i="4"/>
  <c r="H28" i="4"/>
  <c r="M28" i="4"/>
  <c r="L28" i="4"/>
  <c r="K28" i="4"/>
  <c r="J28" i="4"/>
  <c r="I28" i="4"/>
  <c r="D16" i="19"/>
  <c r="F16" i="19" s="1"/>
  <c r="C16" i="19"/>
  <c r="D15" i="19"/>
  <c r="F15" i="19" s="1"/>
  <c r="C15" i="19"/>
  <c r="D14" i="19"/>
  <c r="F14" i="19" s="1"/>
  <c r="C14" i="19"/>
  <c r="C7" i="19"/>
  <c r="D13" i="19"/>
  <c r="F13" i="19" s="1"/>
  <c r="C13" i="19"/>
  <c r="D12" i="19"/>
  <c r="F12" i="19" s="1"/>
  <c r="C12" i="19"/>
  <c r="C7" i="13"/>
  <c r="F31" i="19" l="1"/>
  <c r="F32" i="19" s="1"/>
  <c r="F42" i="20"/>
  <c r="F43" i="20" s="1"/>
  <c r="G20" i="13"/>
  <c r="E23" i="13"/>
  <c r="D23" i="13"/>
  <c r="E22" i="13"/>
  <c r="D22" i="13"/>
  <c r="D20" i="13"/>
  <c r="D18" i="13"/>
  <c r="D15" i="13"/>
  <c r="E14" i="13"/>
  <c r="M25" i="12"/>
  <c r="L25" i="12"/>
  <c r="K25" i="12"/>
  <c r="J25" i="12"/>
  <c r="H25" i="12"/>
  <c r="I25" i="12"/>
  <c r="F23" i="13" s="1"/>
  <c r="M30" i="11"/>
  <c r="L30" i="11"/>
  <c r="K30" i="11"/>
  <c r="J30" i="11"/>
  <c r="H30" i="11"/>
  <c r="I30" i="11"/>
  <c r="F22" i="13" s="1"/>
  <c r="A24" i="11"/>
  <c r="M57" i="10"/>
  <c r="L57" i="10"/>
  <c r="K57" i="10"/>
  <c r="J57" i="10"/>
  <c r="H57" i="10"/>
  <c r="I57" i="10"/>
  <c r="M44" i="10"/>
  <c r="L44" i="10"/>
  <c r="K44" i="10"/>
  <c r="J44" i="10"/>
  <c r="H44" i="10"/>
  <c r="I44" i="10"/>
  <c r="F21" i="13" s="1"/>
  <c r="M42" i="10"/>
  <c r="L42" i="10"/>
  <c r="K42" i="10"/>
  <c r="J42" i="10"/>
  <c r="I42" i="10"/>
  <c r="H42" i="10"/>
  <c r="A12" i="10"/>
  <c r="B27" i="19" s="1"/>
  <c r="A29" i="10"/>
  <c r="A34" i="10"/>
  <c r="A38" i="10"/>
  <c r="A35" i="10"/>
  <c r="A30" i="10"/>
  <c r="A32" i="10"/>
  <c r="A28" i="10"/>
  <c r="A13" i="10"/>
  <c r="A25" i="10"/>
  <c r="A33" i="10"/>
  <c r="A24" i="10"/>
  <c r="A37" i="10"/>
  <c r="M35" i="9"/>
  <c r="L35" i="9"/>
  <c r="K35" i="9"/>
  <c r="J35" i="9"/>
  <c r="H35" i="9"/>
  <c r="I35" i="9"/>
  <c r="H22" i="9"/>
  <c r="J22" i="9"/>
  <c r="K22" i="9"/>
  <c r="L22" i="9"/>
  <c r="M22" i="9"/>
  <c r="I22" i="9"/>
  <c r="M37" i="8"/>
  <c r="L37" i="8"/>
  <c r="K37" i="8"/>
  <c r="J37" i="8"/>
  <c r="I37" i="8"/>
  <c r="H37" i="8"/>
  <c r="M31" i="8"/>
  <c r="L31" i="8"/>
  <c r="K31" i="8"/>
  <c r="J31" i="8"/>
  <c r="H31" i="8"/>
  <c r="I31" i="8"/>
  <c r="M24" i="8"/>
  <c r="L24" i="8"/>
  <c r="K24" i="8"/>
  <c r="J24" i="8"/>
  <c r="H24" i="8"/>
  <c r="I24" i="8"/>
  <c r="F19" i="13" s="1"/>
  <c r="A71" i="21"/>
  <c r="A1" i="21"/>
  <c r="F20" i="13" l="1"/>
  <c r="M42" i="7"/>
  <c r="L42" i="7"/>
  <c r="K42" i="7"/>
  <c r="J42" i="7"/>
  <c r="I42" i="7"/>
  <c r="H42" i="7"/>
  <c r="M29" i="7"/>
  <c r="L29" i="7"/>
  <c r="K29" i="7"/>
  <c r="J29" i="7"/>
  <c r="I29" i="7"/>
  <c r="F18" i="13" s="1"/>
  <c r="H29" i="7"/>
  <c r="A24" i="7"/>
  <c r="M43" i="6"/>
  <c r="L43" i="6"/>
  <c r="K43" i="6"/>
  <c r="J43" i="6"/>
  <c r="I43" i="6"/>
  <c r="H43" i="6"/>
  <c r="M30" i="6"/>
  <c r="L30" i="6"/>
  <c r="K30" i="6"/>
  <c r="J30" i="6"/>
  <c r="I30" i="6"/>
  <c r="F17" i="13" s="1"/>
  <c r="H30" i="6"/>
  <c r="A23" i="6"/>
  <c r="H17" i="5"/>
  <c r="M17" i="5"/>
  <c r="L17" i="5"/>
  <c r="K17" i="5"/>
  <c r="J17" i="5"/>
  <c r="I17" i="5"/>
  <c r="M32" i="5"/>
  <c r="L32" i="5"/>
  <c r="K32" i="5"/>
  <c r="J32" i="5"/>
  <c r="I32" i="5"/>
  <c r="H32" i="5"/>
  <c r="M26" i="5"/>
  <c r="L26" i="5"/>
  <c r="K26" i="5"/>
  <c r="J26" i="5"/>
  <c r="I26" i="5"/>
  <c r="H26" i="5"/>
  <c r="M19" i="5"/>
  <c r="L19" i="5"/>
  <c r="K19" i="5"/>
  <c r="J19" i="5"/>
  <c r="I19" i="5"/>
  <c r="F16" i="13" s="1"/>
  <c r="H19" i="5"/>
  <c r="A17" i="4"/>
  <c r="A16" i="4"/>
  <c r="I21" i="4"/>
  <c r="F15" i="13" s="1"/>
  <c r="M21" i="4"/>
  <c r="L21" i="4"/>
  <c r="H21" i="4"/>
  <c r="K21" i="4"/>
  <c r="J21" i="4"/>
  <c r="M31" i="3"/>
  <c r="L31" i="3"/>
  <c r="K31" i="3"/>
  <c r="J31" i="3"/>
  <c r="H31" i="3"/>
  <c r="I31" i="3"/>
  <c r="M24" i="3"/>
  <c r="L24" i="3"/>
  <c r="K24" i="3"/>
  <c r="J24" i="3"/>
  <c r="H24" i="3"/>
  <c r="I24" i="3"/>
  <c r="F14" i="13" s="1"/>
  <c r="F5" i="19" l="1"/>
  <c r="F4" i="19"/>
  <c r="A35" i="17"/>
  <c r="A35" i="19"/>
  <c r="C6" i="19"/>
  <c r="C5" i="19"/>
  <c r="C4" i="19"/>
  <c r="A1" i="19"/>
  <c r="A18" i="15"/>
  <c r="A1" i="15"/>
  <c r="A17" i="22"/>
  <c r="C6" i="22"/>
  <c r="E5" i="22"/>
  <c r="C5" i="22"/>
  <c r="E4" i="22"/>
  <c r="C4" i="22"/>
  <c r="A1" i="22"/>
  <c r="B23" i="13"/>
  <c r="B15" i="13"/>
  <c r="B16" i="13"/>
  <c r="B17" i="13"/>
  <c r="B18" i="13"/>
  <c r="B19" i="13"/>
  <c r="B20" i="13"/>
  <c r="B21" i="13"/>
  <c r="B22" i="13"/>
  <c r="B14" i="13"/>
  <c r="B13" i="13"/>
  <c r="A14" i="13"/>
  <c r="A15" i="13" s="1"/>
  <c r="A16" i="13" s="1"/>
  <c r="A17" i="13" s="1"/>
  <c r="A18" i="13" s="1"/>
  <c r="A19" i="13" s="1"/>
  <c r="A20" i="13" s="1"/>
  <c r="A21" i="13" s="1"/>
  <c r="A22" i="13" s="1"/>
  <c r="A23" i="13" s="1"/>
  <c r="A28" i="13"/>
  <c r="C6" i="13"/>
  <c r="E5" i="13"/>
  <c r="C5" i="13"/>
  <c r="E4" i="13"/>
  <c r="C4" i="13"/>
  <c r="A1" i="13"/>
  <c r="A41" i="12"/>
  <c r="M37" i="12"/>
  <c r="L37" i="12"/>
  <c r="K37" i="12"/>
  <c r="J37" i="12"/>
  <c r="I37" i="12"/>
  <c r="H37" i="12"/>
  <c r="M31" i="12"/>
  <c r="L31" i="12"/>
  <c r="K31" i="12"/>
  <c r="J31" i="12"/>
  <c r="I31" i="12"/>
  <c r="H31" i="12"/>
  <c r="M26" i="12"/>
  <c r="K26" i="12"/>
  <c r="J26" i="12"/>
  <c r="H26" i="12"/>
  <c r="M23" i="12"/>
  <c r="M24" i="12" s="1"/>
  <c r="L23" i="12"/>
  <c r="L24" i="12" s="1"/>
  <c r="L26" i="12" s="1"/>
  <c r="K23" i="12"/>
  <c r="K24" i="12" s="1"/>
  <c r="J23" i="12"/>
  <c r="J24" i="12" s="1"/>
  <c r="I23" i="12"/>
  <c r="I24" i="12" s="1"/>
  <c r="J23" i="13" s="1"/>
  <c r="H23" i="12"/>
  <c r="H24" i="12" s="1"/>
  <c r="A21" i="12"/>
  <c r="A20" i="12"/>
  <c r="A19" i="12"/>
  <c r="A18" i="12"/>
  <c r="A17" i="12"/>
  <c r="A16" i="12"/>
  <c r="A15" i="12"/>
  <c r="A14" i="12"/>
  <c r="A13" i="12"/>
  <c r="A12" i="12"/>
  <c r="A11" i="12"/>
  <c r="C6" i="12"/>
  <c r="E5" i="12"/>
  <c r="C5" i="12"/>
  <c r="E4" i="12"/>
  <c r="C4" i="12"/>
  <c r="A1" i="12"/>
  <c r="A46" i="11"/>
  <c r="M42" i="11"/>
  <c r="L42" i="11"/>
  <c r="K42" i="11"/>
  <c r="J42" i="11"/>
  <c r="I42" i="11"/>
  <c r="H42" i="11"/>
  <c r="M36" i="11"/>
  <c r="L36" i="11"/>
  <c r="K36" i="11"/>
  <c r="J36" i="11"/>
  <c r="I36" i="11"/>
  <c r="H36" i="11"/>
  <c r="M31" i="11"/>
  <c r="K31" i="11"/>
  <c r="J31" i="11"/>
  <c r="H31" i="11"/>
  <c r="M28" i="11"/>
  <c r="M29" i="11" s="1"/>
  <c r="L28" i="11"/>
  <c r="L29" i="11" s="1"/>
  <c r="L31" i="11" s="1"/>
  <c r="K28" i="11"/>
  <c r="K29" i="11" s="1"/>
  <c r="J28" i="11"/>
  <c r="J29" i="11" s="1"/>
  <c r="I28" i="11"/>
  <c r="I29" i="11" s="1"/>
  <c r="J22" i="13" s="1"/>
  <c r="H28" i="11"/>
  <c r="H29" i="11" s="1"/>
  <c r="A26" i="11"/>
  <c r="A25" i="11"/>
  <c r="A22" i="11"/>
  <c r="A21" i="11"/>
  <c r="A20" i="11"/>
  <c r="A19" i="11"/>
  <c r="A18" i="11"/>
  <c r="A17" i="11"/>
  <c r="A16" i="11"/>
  <c r="A15" i="11"/>
  <c r="A14" i="11"/>
  <c r="A13" i="11"/>
  <c r="A12" i="11"/>
  <c r="A11" i="11"/>
  <c r="C6" i="11"/>
  <c r="E5" i="11"/>
  <c r="C5" i="11"/>
  <c r="E4" i="11"/>
  <c r="C4" i="11"/>
  <c r="A1" i="11"/>
  <c r="A60" i="10"/>
  <c r="M58" i="10"/>
  <c r="K58" i="10"/>
  <c r="J58" i="10"/>
  <c r="H58" i="10"/>
  <c r="M56" i="10"/>
  <c r="L56" i="10"/>
  <c r="L58" i="10" s="1"/>
  <c r="K56" i="10"/>
  <c r="J56" i="10"/>
  <c r="I56" i="10"/>
  <c r="H56" i="10"/>
  <c r="M52" i="10"/>
  <c r="K52" i="10"/>
  <c r="J52" i="10"/>
  <c r="M51" i="10"/>
  <c r="L51" i="10"/>
  <c r="K51" i="10"/>
  <c r="J51" i="10"/>
  <c r="I51" i="10"/>
  <c r="H51" i="10"/>
  <c r="H52" i="10" s="1"/>
  <c r="M50" i="10"/>
  <c r="L50" i="10"/>
  <c r="K50" i="10"/>
  <c r="J50" i="10"/>
  <c r="I50" i="10"/>
  <c r="H50" i="10"/>
  <c r="M45" i="10"/>
  <c r="K45" i="10"/>
  <c r="J45" i="10"/>
  <c r="H45" i="10"/>
  <c r="M43" i="10"/>
  <c r="L43" i="10"/>
  <c r="L45" i="10" s="1"/>
  <c r="K43" i="10"/>
  <c r="J43" i="10"/>
  <c r="I43" i="10"/>
  <c r="J21" i="13" s="1"/>
  <c r="H43" i="10"/>
  <c r="A40" i="10"/>
  <c r="A39" i="10"/>
  <c r="A23" i="10"/>
  <c r="A26" i="10"/>
  <c r="A22" i="10"/>
  <c r="A21" i="10"/>
  <c r="B40" i="20" s="1"/>
  <c r="A20" i="10"/>
  <c r="B39" i="20" s="1"/>
  <c r="A19" i="10"/>
  <c r="B38" i="20" s="1"/>
  <c r="A18" i="10"/>
  <c r="B37" i="20" s="1"/>
  <c r="A17" i="10"/>
  <c r="B36" i="20" s="1"/>
  <c r="A16" i="10"/>
  <c r="B35" i="20" s="1"/>
  <c r="A15" i="10"/>
  <c r="A14" i="10"/>
  <c r="B34" i="20" s="1"/>
  <c r="A11" i="10"/>
  <c r="C6" i="10"/>
  <c r="E5" i="10"/>
  <c r="C5" i="10"/>
  <c r="E4" i="10"/>
  <c r="C4" i="10"/>
  <c r="A1" i="10"/>
  <c r="A38" i="9"/>
  <c r="M36" i="9"/>
  <c r="K36" i="9"/>
  <c r="J36" i="9"/>
  <c r="H36" i="9"/>
  <c r="M34" i="9"/>
  <c r="L34" i="9"/>
  <c r="L36" i="9" s="1"/>
  <c r="K34" i="9"/>
  <c r="J34" i="9"/>
  <c r="I34" i="9"/>
  <c r="H34" i="9"/>
  <c r="M28" i="9"/>
  <c r="L28" i="9"/>
  <c r="K28" i="9"/>
  <c r="J28" i="9"/>
  <c r="I28" i="9"/>
  <c r="H28" i="9"/>
  <c r="M23" i="9"/>
  <c r="K23" i="9"/>
  <c r="J23" i="9"/>
  <c r="H23" i="9"/>
  <c r="M20" i="9"/>
  <c r="M21" i="9" s="1"/>
  <c r="L21" i="9"/>
  <c r="L23" i="9" s="1"/>
  <c r="K20" i="9"/>
  <c r="K21" i="9" s="1"/>
  <c r="J20" i="9"/>
  <c r="J21" i="9" s="1"/>
  <c r="I20" i="9"/>
  <c r="I21" i="9" s="1"/>
  <c r="J20" i="13" s="1"/>
  <c r="H20" i="9"/>
  <c r="H21" i="9" s="1"/>
  <c r="A17" i="9"/>
  <c r="A16" i="9"/>
  <c r="B33" i="20" s="1"/>
  <c r="A15" i="9"/>
  <c r="B32" i="20" s="1"/>
  <c r="A14" i="9"/>
  <c r="B31" i="20" s="1"/>
  <c r="A13" i="9"/>
  <c r="A12" i="9"/>
  <c r="A11" i="9"/>
  <c r="C6" i="9"/>
  <c r="E5" i="9"/>
  <c r="C5" i="9"/>
  <c r="E4" i="9"/>
  <c r="C4" i="9"/>
  <c r="A1" i="9"/>
  <c r="A40" i="8"/>
  <c r="M38" i="8"/>
  <c r="K38" i="8"/>
  <c r="J38" i="8"/>
  <c r="H38" i="8"/>
  <c r="M36" i="8"/>
  <c r="L36" i="8"/>
  <c r="L38" i="8" s="1"/>
  <c r="K36" i="8"/>
  <c r="J36" i="8"/>
  <c r="I36" i="8"/>
  <c r="H36" i="8"/>
  <c r="J32" i="8"/>
  <c r="M32" i="8"/>
  <c r="K32" i="8"/>
  <c r="H32" i="8"/>
  <c r="M30" i="8"/>
  <c r="L30" i="8"/>
  <c r="L32" i="8" s="1"/>
  <c r="K30" i="8"/>
  <c r="J30" i="8"/>
  <c r="I30" i="8"/>
  <c r="H30" i="8"/>
  <c r="H25" i="8"/>
  <c r="M25" i="8"/>
  <c r="K25" i="8"/>
  <c r="J25" i="8"/>
  <c r="M22" i="8"/>
  <c r="M23" i="8" s="1"/>
  <c r="L23" i="8"/>
  <c r="L25" i="8" s="1"/>
  <c r="K22" i="8"/>
  <c r="K23" i="8" s="1"/>
  <c r="J22" i="8"/>
  <c r="J23" i="8" s="1"/>
  <c r="I22" i="8"/>
  <c r="I23" i="8" s="1"/>
  <c r="J19" i="13" s="1"/>
  <c r="H22" i="8"/>
  <c r="H23" i="8" s="1"/>
  <c r="A19" i="8"/>
  <c r="B30" i="20" s="1"/>
  <c r="A18" i="8"/>
  <c r="B26" i="19" s="1"/>
  <c r="A17" i="8"/>
  <c r="B25" i="19" s="1"/>
  <c r="A16" i="8"/>
  <c r="B24" i="19" s="1"/>
  <c r="A15" i="8"/>
  <c r="A14" i="8"/>
  <c r="B23" i="19" s="1"/>
  <c r="A13" i="8"/>
  <c r="B22" i="19" s="1"/>
  <c r="A12" i="8"/>
  <c r="B21" i="19" s="1"/>
  <c r="A11" i="8"/>
  <c r="C6" i="8"/>
  <c r="E5" i="8"/>
  <c r="C5" i="8"/>
  <c r="E4" i="8"/>
  <c r="C4" i="8"/>
  <c r="A1" i="8"/>
  <c r="A45" i="7"/>
  <c r="M43" i="7"/>
  <c r="K43" i="7"/>
  <c r="J43" i="7"/>
  <c r="H43" i="7"/>
  <c r="M41" i="7"/>
  <c r="L41" i="7"/>
  <c r="L43" i="7" s="1"/>
  <c r="K41" i="7"/>
  <c r="J41" i="7"/>
  <c r="I41" i="7"/>
  <c r="I43" i="7" s="1"/>
  <c r="E18" i="13" s="1"/>
  <c r="H41" i="7"/>
  <c r="M35" i="7"/>
  <c r="L35" i="7"/>
  <c r="K35" i="7"/>
  <c r="J35" i="7"/>
  <c r="I35" i="7"/>
  <c r="H35" i="7"/>
  <c r="M30" i="7"/>
  <c r="K30" i="7"/>
  <c r="J30" i="7"/>
  <c r="H30" i="7"/>
  <c r="M27" i="7"/>
  <c r="M28" i="7" s="1"/>
  <c r="L27" i="7"/>
  <c r="L28" i="7" s="1"/>
  <c r="L30" i="7" s="1"/>
  <c r="K27" i="7"/>
  <c r="K28" i="7" s="1"/>
  <c r="J27" i="7"/>
  <c r="J28" i="7" s="1"/>
  <c r="I27" i="7"/>
  <c r="I28" i="7" s="1"/>
  <c r="J18" i="13" s="1"/>
  <c r="H27" i="7"/>
  <c r="H28" i="7" s="1"/>
  <c r="A25" i="7"/>
  <c r="A23" i="7"/>
  <c r="A22" i="7"/>
  <c r="A21" i="7"/>
  <c r="A20" i="7"/>
  <c r="B29" i="20" s="1"/>
  <c r="A19" i="7"/>
  <c r="B28" i="20" s="1"/>
  <c r="A18" i="7"/>
  <c r="B27" i="20" s="1"/>
  <c r="A17" i="7"/>
  <c r="A16" i="7"/>
  <c r="B26" i="20" s="1"/>
  <c r="A15" i="7"/>
  <c r="B25" i="20" s="1"/>
  <c r="A14" i="7"/>
  <c r="B24" i="20" s="1"/>
  <c r="A13" i="7"/>
  <c r="A12" i="7"/>
  <c r="A11" i="7"/>
  <c r="C6" i="7"/>
  <c r="E5" i="7"/>
  <c r="C5" i="7"/>
  <c r="E4" i="7"/>
  <c r="C4" i="7"/>
  <c r="A1" i="7"/>
  <c r="A46" i="6"/>
  <c r="M44" i="6"/>
  <c r="K44" i="6"/>
  <c r="J44" i="6"/>
  <c r="H44" i="6"/>
  <c r="M42" i="6"/>
  <c r="L42" i="6"/>
  <c r="L44" i="6" s="1"/>
  <c r="K42" i="6"/>
  <c r="J42" i="6"/>
  <c r="I42" i="6"/>
  <c r="H42" i="6"/>
  <c r="M36" i="6"/>
  <c r="L36" i="6"/>
  <c r="K36" i="6"/>
  <c r="J36" i="6"/>
  <c r="I36" i="6"/>
  <c r="H36" i="6"/>
  <c r="M31" i="6"/>
  <c r="K31" i="6"/>
  <c r="J31" i="6"/>
  <c r="H31" i="6"/>
  <c r="M28" i="6"/>
  <c r="M29" i="6" s="1"/>
  <c r="L29" i="6"/>
  <c r="L31" i="6" s="1"/>
  <c r="K28" i="6"/>
  <c r="K29" i="6" s="1"/>
  <c r="J28" i="6"/>
  <c r="J29" i="6" s="1"/>
  <c r="I28" i="6"/>
  <c r="I29" i="6" s="1"/>
  <c r="J17" i="13" s="1"/>
  <c r="H28" i="6"/>
  <c r="H29" i="6" s="1"/>
  <c r="A26" i="6"/>
  <c r="A25" i="6"/>
  <c r="A22" i="6"/>
  <c r="B22" i="20" s="1"/>
  <c r="A21" i="6"/>
  <c r="B21" i="20" s="1"/>
  <c r="A20" i="6"/>
  <c r="B20" i="20" s="1"/>
  <c r="A19" i="6"/>
  <c r="A18" i="6"/>
  <c r="B19" i="20" s="1"/>
  <c r="A17" i="6"/>
  <c r="B18" i="20" s="1"/>
  <c r="A16" i="6"/>
  <c r="B17" i="20" s="1"/>
  <c r="A15" i="6"/>
  <c r="B16" i="20" s="1"/>
  <c r="A14" i="6"/>
  <c r="A13" i="6"/>
  <c r="A12" i="6"/>
  <c r="A11" i="6"/>
  <c r="C6" i="6"/>
  <c r="E5" i="6"/>
  <c r="C5" i="6"/>
  <c r="E4" i="6"/>
  <c r="C4" i="6"/>
  <c r="A1" i="6"/>
  <c r="A35" i="5"/>
  <c r="M33" i="5"/>
  <c r="L33" i="5"/>
  <c r="K33" i="5"/>
  <c r="J33" i="5"/>
  <c r="H33" i="5"/>
  <c r="M31" i="5"/>
  <c r="L31" i="5"/>
  <c r="K31" i="5"/>
  <c r="J31" i="5"/>
  <c r="I31" i="5"/>
  <c r="H31" i="5"/>
  <c r="M27" i="5"/>
  <c r="K27" i="5"/>
  <c r="J27" i="5"/>
  <c r="H27" i="5"/>
  <c r="M25" i="5"/>
  <c r="L25" i="5"/>
  <c r="L27" i="5" s="1"/>
  <c r="K25" i="5"/>
  <c r="J25" i="5"/>
  <c r="I25" i="5"/>
  <c r="H25" i="5"/>
  <c r="M20" i="5"/>
  <c r="K20" i="5"/>
  <c r="J20" i="5"/>
  <c r="H20" i="5"/>
  <c r="M18" i="5"/>
  <c r="L18" i="5"/>
  <c r="L20" i="5" s="1"/>
  <c r="K18" i="5"/>
  <c r="J18" i="5"/>
  <c r="I18" i="5"/>
  <c r="J16" i="13" s="1"/>
  <c r="H18" i="5"/>
  <c r="A15" i="5"/>
  <c r="B15" i="20" s="1"/>
  <c r="A12" i="5"/>
  <c r="B19" i="19" s="1"/>
  <c r="A13" i="5"/>
  <c r="B20" i="19" s="1"/>
  <c r="A14" i="5"/>
  <c r="A11" i="5"/>
  <c r="C6" i="5"/>
  <c r="E5" i="5"/>
  <c r="C5" i="5"/>
  <c r="E4" i="5"/>
  <c r="C4" i="5"/>
  <c r="A1" i="5"/>
  <c r="A37" i="4"/>
  <c r="M33" i="4"/>
  <c r="L33" i="4"/>
  <c r="K33" i="4"/>
  <c r="J33" i="4"/>
  <c r="I33" i="4"/>
  <c r="H33" i="4"/>
  <c r="M27" i="4"/>
  <c r="L27" i="4"/>
  <c r="L29" i="4" s="1"/>
  <c r="K27" i="4"/>
  <c r="J27" i="4"/>
  <c r="I27" i="4"/>
  <c r="H27" i="4"/>
  <c r="L22" i="4"/>
  <c r="K22" i="4"/>
  <c r="J22" i="4"/>
  <c r="H22" i="4"/>
  <c r="M19" i="4"/>
  <c r="M20" i="4" s="1"/>
  <c r="M22" i="4" s="1"/>
  <c r="L19" i="4"/>
  <c r="L20" i="4" s="1"/>
  <c r="K19" i="4"/>
  <c r="K20" i="4" s="1"/>
  <c r="J19" i="4"/>
  <c r="J20" i="4" s="1"/>
  <c r="I19" i="4"/>
  <c r="I20" i="4" s="1"/>
  <c r="J15" i="13" s="1"/>
  <c r="H19" i="4"/>
  <c r="H20" i="4" s="1"/>
  <c r="A15" i="4"/>
  <c r="A14" i="4"/>
  <c r="A13" i="4"/>
  <c r="B18" i="19" s="1"/>
  <c r="A12" i="4"/>
  <c r="B17" i="19" s="1"/>
  <c r="A11" i="4"/>
  <c r="C6" i="4"/>
  <c r="E5" i="4"/>
  <c r="C5" i="4"/>
  <c r="E4" i="4"/>
  <c r="C4" i="4"/>
  <c r="A1" i="4"/>
  <c r="A11" i="16"/>
  <c r="A11" i="3"/>
  <c r="A40" i="3"/>
  <c r="M36" i="3"/>
  <c r="L36" i="3"/>
  <c r="K36" i="3"/>
  <c r="J36" i="3"/>
  <c r="I36" i="3"/>
  <c r="H36" i="3"/>
  <c r="M32" i="3"/>
  <c r="K32" i="3"/>
  <c r="J32" i="3"/>
  <c r="H32" i="3"/>
  <c r="M30" i="3"/>
  <c r="L30" i="3"/>
  <c r="L32" i="3" s="1"/>
  <c r="K30" i="3"/>
  <c r="J30" i="3"/>
  <c r="I30" i="3"/>
  <c r="H30" i="3"/>
  <c r="M25" i="3"/>
  <c r="K25" i="3"/>
  <c r="J25" i="3"/>
  <c r="H25" i="3"/>
  <c r="M22" i="3"/>
  <c r="M23" i="3" s="1"/>
  <c r="L23" i="3"/>
  <c r="L25" i="3" s="1"/>
  <c r="K22" i="3"/>
  <c r="K23" i="3" s="1"/>
  <c r="J22" i="3"/>
  <c r="J23" i="3" s="1"/>
  <c r="I22" i="3"/>
  <c r="I23" i="3" s="1"/>
  <c r="J14" i="13" s="1"/>
  <c r="H22" i="3"/>
  <c r="H23" i="3" s="1"/>
  <c r="A19" i="3"/>
  <c r="A18" i="3"/>
  <c r="A17" i="3"/>
  <c r="A16" i="3"/>
  <c r="A15" i="3"/>
  <c r="A14" i="3"/>
  <c r="B16" i="19" s="1"/>
  <c r="A13" i="3"/>
  <c r="B15" i="19" s="1"/>
  <c r="A12" i="3"/>
  <c r="B14" i="19" s="1"/>
  <c r="C6" i="3"/>
  <c r="E5" i="3"/>
  <c r="C5" i="3"/>
  <c r="E4" i="3"/>
  <c r="C4" i="3"/>
  <c r="A1" i="3"/>
  <c r="U4" i="21"/>
  <c r="L52" i="10" l="1"/>
  <c r="I52" i="10"/>
  <c r="D21" i="13" s="1"/>
  <c r="I58" i="10"/>
  <c r="E21" i="13" s="1"/>
  <c r="I38" i="8"/>
  <c r="E19" i="13" s="1"/>
  <c r="I32" i="8"/>
  <c r="D19" i="13" s="1"/>
  <c r="I36" i="9"/>
  <c r="E20" i="13" s="1"/>
  <c r="I44" i="6"/>
  <c r="I33" i="5"/>
  <c r="E16" i="13" s="1"/>
  <c r="I27" i="5"/>
  <c r="D16" i="13" s="1"/>
  <c r="E15" i="13"/>
  <c r="I22" i="4"/>
  <c r="G15" i="13" s="1"/>
  <c r="I26" i="12"/>
  <c r="G23" i="13" s="1"/>
  <c r="I31" i="11"/>
  <c r="G22" i="13" s="1"/>
  <c r="I45" i="10"/>
  <c r="G21" i="13" s="1"/>
  <c r="I23" i="9"/>
  <c r="I25" i="8"/>
  <c r="G19" i="13" s="1"/>
  <c r="I30" i="7"/>
  <c r="G18" i="13" s="1"/>
  <c r="I31" i="6"/>
  <c r="G17" i="13" s="1"/>
  <c r="I20" i="5"/>
  <c r="G16" i="13" s="1"/>
  <c r="I32" i="3"/>
  <c r="D14" i="13" s="1"/>
  <c r="I25" i="3"/>
  <c r="G14" i="13" s="1"/>
  <c r="A24" i="16"/>
  <c r="A23" i="16"/>
  <c r="A22" i="16"/>
  <c r="B13" i="19" s="1"/>
  <c r="A21" i="16"/>
  <c r="A20" i="16"/>
  <c r="A19" i="16"/>
  <c r="A18" i="16"/>
  <c r="A17" i="16"/>
  <c r="B14" i="20" s="1"/>
  <c r="A16" i="16"/>
  <c r="A15" i="16"/>
  <c r="B13" i="20" s="1"/>
  <c r="A14" i="16"/>
  <c r="B12" i="19" s="1"/>
  <c r="A13" i="16"/>
  <c r="B12" i="20" s="1"/>
  <c r="A12" i="16"/>
  <c r="M42" i="16"/>
  <c r="L42" i="16"/>
  <c r="K42" i="16"/>
  <c r="J42" i="16"/>
  <c r="H42" i="16"/>
  <c r="I42" i="16"/>
  <c r="M36" i="16"/>
  <c r="L36" i="16"/>
  <c r="K36" i="16"/>
  <c r="J36" i="16"/>
  <c r="H36" i="16"/>
  <c r="I36" i="16"/>
  <c r="B1" i="1" l="1"/>
  <c r="O4" i="17"/>
  <c r="C4" i="16"/>
  <c r="A45" i="16"/>
  <c r="A1" i="16"/>
  <c r="A24" i="14"/>
  <c r="A1" i="14"/>
  <c r="A31" i="1"/>
  <c r="A1" i="1"/>
  <c r="A1" i="17"/>
  <c r="A18" i="18"/>
  <c r="M41" i="16" l="1"/>
  <c r="L41" i="16"/>
  <c r="K41" i="16"/>
  <c r="J41" i="16"/>
  <c r="H41" i="16"/>
  <c r="M35" i="16"/>
  <c r="L35" i="16"/>
  <c r="K35" i="16"/>
  <c r="J35" i="16"/>
  <c r="H35" i="16"/>
  <c r="I41" i="16"/>
  <c r="I35" i="16"/>
  <c r="I37" i="16" l="1"/>
  <c r="I43" i="16"/>
  <c r="B6" i="17"/>
  <c r="E17" i="13" l="1"/>
  <c r="E13" i="13"/>
  <c r="D13" i="13"/>
  <c r="D17" i="13"/>
  <c r="M43" i="16"/>
  <c r="L43" i="16"/>
  <c r="K43" i="16"/>
  <c r="J43" i="16"/>
  <c r="H43" i="16"/>
  <c r="M37" i="16"/>
  <c r="L37" i="16"/>
  <c r="K37" i="16"/>
  <c r="J37" i="16"/>
  <c r="H37" i="16"/>
  <c r="M29" i="16"/>
  <c r="M30" i="16" s="1"/>
  <c r="L29" i="16"/>
  <c r="K29" i="16"/>
  <c r="K30" i="16" s="1"/>
  <c r="J29" i="16"/>
  <c r="J30" i="16" s="1"/>
  <c r="H29" i="16"/>
  <c r="H30" i="16" s="1"/>
  <c r="I29" i="16"/>
  <c r="F13" i="13" s="1"/>
  <c r="F25" i="13" s="1"/>
  <c r="C6" i="16"/>
  <c r="E25" i="13" l="1"/>
  <c r="D25" i="13"/>
  <c r="M27" i="16"/>
  <c r="M28" i="16" s="1"/>
  <c r="L28" i="16"/>
  <c r="L30" i="16" s="1"/>
  <c r="K27" i="16"/>
  <c r="K28" i="16" s="1"/>
  <c r="J27" i="16"/>
  <c r="J28" i="16" s="1"/>
  <c r="I27" i="16"/>
  <c r="H27" i="16"/>
  <c r="H28" i="16" s="1"/>
  <c r="I28" i="16" l="1"/>
  <c r="E5" i="16"/>
  <c r="E4" i="16"/>
  <c r="C5" i="16"/>
  <c r="I30" i="16" l="1"/>
  <c r="G13" i="13" s="1"/>
  <c r="J13" i="13"/>
  <c r="J25" i="13" s="1"/>
  <c r="G25" i="13" s="1"/>
</calcChain>
</file>

<file path=xl/sharedStrings.xml><?xml version="1.0" encoding="utf-8"?>
<sst xmlns="http://schemas.openxmlformats.org/spreadsheetml/2006/main" count="1534" uniqueCount="507">
  <si>
    <t>Evaluated by:</t>
  </si>
  <si>
    <t>Description or Criteria for Evaluation</t>
  </si>
  <si>
    <t>Comments &amp; Resources</t>
  </si>
  <si>
    <t>þ</t>
  </si>
  <si>
    <t>Approved Policy Statements</t>
  </si>
  <si>
    <t>Written policy statements approved by a governing body.</t>
  </si>
  <si>
    <t>Climate Change (Sustainability)</t>
  </si>
  <si>
    <t>No Net Loss</t>
  </si>
  <si>
    <t>Can refer to trees, basal area, or canopy.</t>
  </si>
  <si>
    <t>Risk Management</t>
  </si>
  <si>
    <t>Should reference: ANSI A300 Part 9, ISA BMP, and prioritization funding mechanisms.</t>
  </si>
  <si>
    <t>Tree Canopy Goals</t>
  </si>
  <si>
    <t>Overall community/campus goal, or by designated “zone”.</t>
  </si>
  <si>
    <t>Tree Protection</t>
  </si>
  <si>
    <t>Construction and/or landscape maintenance.</t>
  </si>
  <si>
    <t>Utility</t>
  </si>
  <si>
    <t>Utility pruning, planting, and installation policy (e.g. boring vs. trenching).</t>
  </si>
  <si>
    <t>Human Health – Physical &amp; Psychological</t>
  </si>
  <si>
    <t>Wildlife Diversity/Habitat/Protection</t>
  </si>
  <si>
    <t>Mammals, birds, or reptiles.</t>
  </si>
  <si>
    <t>Performance Monitoring</t>
  </si>
  <si>
    <t>Recognizes the annual or biennial calculation of metrics (e.g. some component of ecosystem services) for the purpose of tracking management performance.</t>
  </si>
  <si>
    <t>Also see 3.4, 5.2 and 5.7 and/or 5.12.</t>
  </si>
  <si>
    <t>Tree protection and management for trees on private property.</t>
  </si>
  <si>
    <t>Tree protection and management for public trees.</t>
  </si>
  <si>
    <t>Development Standards</t>
  </si>
  <si>
    <t>Also see 9.24 for sustainable management standards.</t>
  </si>
  <si>
    <t>High-Conservation Value Forests</t>
  </si>
  <si>
    <t>Programs or policies for identification, acquisition, and/or protection of groups of trees or forests that provide unique public benefits.</t>
  </si>
  <si>
    <t>Date:</t>
  </si>
  <si>
    <t>Urban Forest Manager:</t>
  </si>
  <si>
    <t>Controlling Authority:</t>
  </si>
  <si>
    <t>Entity:</t>
  </si>
  <si>
    <t>Recognizes and addresses the human health benefits of the natural resource (e.g. exercise, air quality, stress management, shade).
Could also include Urban Heat Island (UHI) policies.</t>
  </si>
  <si>
    <t>Also referred to as Sustainability.  With reference to urban trees.  Addresses the long-term health and productivity of the natural resource.</t>
  </si>
  <si>
    <t>Entity</t>
  </si>
  <si>
    <t>Table Footnotes</t>
  </si>
  <si>
    <t>0) Not Practiced</t>
  </si>
  <si>
    <t>1) In Development</t>
  </si>
  <si>
    <t>3) Exceeds Common Practice</t>
  </si>
  <si>
    <t>1) Campus: Corporate</t>
  </si>
  <si>
    <t>2) Campus: College</t>
  </si>
  <si>
    <t>3) Campus: K-12</t>
  </si>
  <si>
    <t>Evaluation</t>
  </si>
  <si>
    <t>US Green Building Council’s LEED® rating systems (or similar internationally)
LEED v4 BD+C (Sustainable Sites)
LEED 4 ND (Neighborhood Pattern &amp; Design, Green Infrastructure)
ASLA’s SITES® Rating System</t>
  </si>
  <si>
    <r>
      <t xml:space="preserve">The symbol </t>
    </r>
    <r>
      <rPr>
        <sz val="11"/>
        <color theme="1"/>
        <rFont val="Wingdings 2"/>
        <family val="1"/>
        <charset val="2"/>
      </rPr>
      <t>V</t>
    </r>
    <r>
      <rPr>
        <sz val="11"/>
        <color theme="1"/>
        <rFont val="Calibri"/>
        <family val="2"/>
        <scheme val="minor"/>
      </rPr>
      <t xml:space="preserve"> indicates the element is NOT evaluated for Tree Campus USA® and other non-public urban forest management programs (e.g. corporate campuses).</t>
    </r>
  </si>
  <si>
    <t>2) Adopted Common Practice</t>
  </si>
  <si>
    <t>Introduction</t>
  </si>
  <si>
    <r>
      <t>§</t>
    </r>
    <r>
      <rPr>
        <sz val="7"/>
        <color theme="1"/>
        <rFont val="Times New Roman"/>
        <family val="1"/>
      </rPr>
      <t xml:space="preserve">  </t>
    </r>
    <r>
      <rPr>
        <sz val="11"/>
        <color theme="1"/>
        <rFont val="Calibri"/>
        <family val="2"/>
        <scheme val="minor"/>
      </rPr>
      <t>engage the full spectrum of the organizations’ management team: executive, financial, resource, and outreach,</t>
    </r>
  </si>
  <si>
    <r>
      <t>§</t>
    </r>
    <r>
      <rPr>
        <sz val="7"/>
        <color theme="1"/>
        <rFont val="Times New Roman"/>
        <family val="1"/>
      </rPr>
      <t xml:space="preserve">  </t>
    </r>
    <r>
      <rPr>
        <sz val="11"/>
        <color theme="1"/>
        <rFont val="Calibri"/>
        <family val="2"/>
        <scheme val="minor"/>
      </rPr>
      <t>provide program direction that increases the level of professionalism in urban forest management,</t>
    </r>
  </si>
  <si>
    <r>
      <t>§</t>
    </r>
    <r>
      <rPr>
        <sz val="7"/>
        <color theme="1"/>
        <rFont val="Times New Roman"/>
        <family val="1"/>
      </rPr>
      <t xml:space="preserve">  </t>
    </r>
    <r>
      <rPr>
        <sz val="11"/>
        <color theme="1"/>
        <rFont val="Calibri"/>
        <family val="2"/>
        <scheme val="minor"/>
      </rPr>
      <t>conduct a gap analysis of management practices and the health of green assets</t>
    </r>
  </si>
  <si>
    <r>
      <t>§</t>
    </r>
    <r>
      <rPr>
        <sz val="7"/>
        <color theme="1"/>
        <rFont val="Times New Roman"/>
        <family val="1"/>
      </rPr>
      <t xml:space="preserve">  </t>
    </r>
    <r>
      <rPr>
        <sz val="11"/>
        <color theme="1"/>
        <rFont val="Calibri"/>
        <family val="2"/>
        <scheme val="minor"/>
      </rPr>
      <t>increase the health of the green assets managed by the program, and…</t>
    </r>
  </si>
  <si>
    <r>
      <t>§</t>
    </r>
    <r>
      <rPr>
        <sz val="7"/>
        <color theme="1"/>
        <rFont val="Times New Roman"/>
        <family val="1"/>
      </rPr>
      <t xml:space="preserve">  </t>
    </r>
    <r>
      <rPr>
        <sz val="11"/>
        <color theme="1"/>
        <rFont val="Calibri"/>
        <family val="2"/>
        <scheme val="minor"/>
      </rPr>
      <t>optimize this management for identified ecosystem services (i.e. reach an acceptable benefit:cost ratio).</t>
    </r>
  </si>
  <si>
    <t>Also see 1.11</t>
  </si>
  <si>
    <t>Management Policy and Ordinances</t>
  </si>
  <si>
    <t>Team:</t>
  </si>
  <si>
    <t>Municipal</t>
  </si>
  <si>
    <t>County</t>
  </si>
  <si>
    <t>Corporate</t>
  </si>
  <si>
    <r>
      <t xml:space="preserve">Ordinance (Private) </t>
    </r>
    <r>
      <rPr>
        <sz val="10"/>
        <color theme="1"/>
        <rFont val="Wingdings 2"/>
        <family val="1"/>
        <charset val="2"/>
      </rPr>
      <t>V</t>
    </r>
  </si>
  <si>
    <t>6) Other Government: Federal or State</t>
  </si>
  <si>
    <t>5) Municipality</t>
  </si>
  <si>
    <t>4) County</t>
  </si>
  <si>
    <t>K-12</t>
  </si>
  <si>
    <t>Evaluation Goal</t>
  </si>
  <si>
    <t>Evaluation Goal:</t>
  </si>
  <si>
    <t>Category</t>
  </si>
  <si>
    <t>Component Evaluated</t>
  </si>
  <si>
    <t>Where to begin…</t>
  </si>
  <si>
    <t>Assemble team</t>
  </si>
  <si>
    <t>Discovery</t>
  </si>
  <si>
    <t>Organization</t>
  </si>
  <si>
    <t>Reporting</t>
  </si>
  <si>
    <t>SOC Sum:</t>
  </si>
  <si>
    <t>Base Practices (BP) elements (highlighted in light green) represent additional urban forest management elements that may effectively expand a program beyond the SOC group.  These elements are typically precursors to other “non-core” elements in the category.</t>
  </si>
  <si>
    <t>BP Sum:</t>
  </si>
  <si>
    <t>About</t>
  </si>
  <si>
    <t>Contact:</t>
  </si>
  <si>
    <t>Dudley R. Hartel</t>
  </si>
  <si>
    <t>dhartel@fs.fed.us</t>
  </si>
  <si>
    <t>706-410-5568 cell</t>
  </si>
  <si>
    <t>Policy &amp; Ordinances</t>
  </si>
  <si>
    <t>Capacity &amp; Training</t>
  </si>
  <si>
    <t>Funding &amp; Accounting</t>
  </si>
  <si>
    <t>Authority</t>
  </si>
  <si>
    <t>Inventories</t>
  </si>
  <si>
    <t>Urban Forest Management Plans</t>
  </si>
  <si>
    <t>Disaster Planning</t>
  </si>
  <si>
    <t>Practices (Standards &amp; BMPs)</t>
  </si>
  <si>
    <t>Community</t>
  </si>
  <si>
    <t>Green Asset Evaluation</t>
  </si>
  <si>
    <t>Overall Management Evaluation</t>
  </si>
  <si>
    <t>Just the Basics</t>
  </si>
  <si>
    <t>Dropdown Lists</t>
  </si>
  <si>
    <t>Standard of Care</t>
  </si>
  <si>
    <t>There are</t>
  </si>
  <si>
    <t>Table of Contents (TOC)</t>
  </si>
  <si>
    <t>This hyperlinked  TOC (table of contents).</t>
  </si>
  <si>
    <t>TOC - Quick Access</t>
  </si>
  <si>
    <t>Catagory Goal (Sum):</t>
  </si>
  <si>
    <t>Category Evaluation (Sum):</t>
  </si>
  <si>
    <t>BP Applicable (Count)</t>
  </si>
  <si>
    <t>SOC Applicable (Count):</t>
  </si>
  <si>
    <t>SOC Goal (Sum):</t>
  </si>
  <si>
    <t>BP Goal (Sum):</t>
  </si>
  <si>
    <t>Category Percent Attained:</t>
  </si>
  <si>
    <t>Verify Category Item Applicability: 0 = NA, 1 = Applicable</t>
  </si>
  <si>
    <t>Verify Category Standard of Care (SOC) Count</t>
  </si>
  <si>
    <t>Verify Category Base Practices (BP) Count</t>
  </si>
  <si>
    <t>College</t>
  </si>
  <si>
    <t>Other Public</t>
  </si>
  <si>
    <t>Development and ackowledgements.</t>
  </si>
  <si>
    <t>Workbook Operation</t>
  </si>
  <si>
    <t>An example worksheet and instructions for user interaction.</t>
  </si>
  <si>
    <t xml:space="preserve">Each worksheet will have a </t>
  </si>
  <si>
    <t>TOC</t>
  </si>
  <si>
    <t>Professional Capacity and Training</t>
  </si>
  <si>
    <t>Certified Arborist - Staff</t>
  </si>
  <si>
    <t>Professional Management</t>
  </si>
  <si>
    <t>Certified Arborist - Contracted</t>
  </si>
  <si>
    <t>Certified Arborist - Other Resource</t>
  </si>
  <si>
    <t>Provision for professional consultation.</t>
  </si>
  <si>
    <t>Other Professional - Advising/directing UF management</t>
  </si>
  <si>
    <t>Municipal Forestry Institute</t>
  </si>
  <si>
    <t>Funding and Accounting</t>
  </si>
  <si>
    <t>Practices, Standards, and BMPs</t>
  </si>
  <si>
    <t>Description</t>
  </si>
  <si>
    <t>Total</t>
  </si>
  <si>
    <t>Sum of Evaluations</t>
  </si>
  <si>
    <t>Decision and Management Authority</t>
  </si>
  <si>
    <t>Management Level</t>
  </si>
  <si>
    <t>ufaudit</t>
  </si>
  <si>
    <t>Combined evaluation based on 10 categories, green assets, and selection of criteria</t>
  </si>
  <si>
    <t>Green Asset Evaluation (Soil, Trees) - Observed Outcomes</t>
  </si>
  <si>
    <t>Standard of Care (SOC)</t>
  </si>
  <si>
    <t>worksheets in this spreadsheet calculation tool; except for this page, all are hyperlinked from/to the TOC that follows:</t>
  </si>
  <si>
    <t>Urban forest Sustainability and Management Level assignment.</t>
  </si>
  <si>
    <r>
      <t xml:space="preserve">in the upper right-hand corner to get you quickly back to the </t>
    </r>
    <r>
      <rPr>
        <b/>
        <sz val="11"/>
        <color theme="1"/>
        <rFont val="Calibri"/>
        <family val="2"/>
        <scheme val="minor"/>
      </rPr>
      <t>Table of Contents</t>
    </r>
    <r>
      <rPr>
        <sz val="11"/>
        <color theme="1"/>
        <rFont val="Calibri"/>
        <family val="2"/>
        <scheme val="minor"/>
      </rPr>
      <t>.</t>
    </r>
  </si>
  <si>
    <t>Selection lists (drop-down menus) and spreadsheet protection.</t>
  </si>
  <si>
    <t>(Members)</t>
  </si>
  <si>
    <t>Urban Forestry Institute – Region 8</t>
  </si>
  <si>
    <t>Campus/city arborist – ISA CA instructor for CEUs</t>
  </si>
  <si>
    <t>Tree Board University</t>
  </si>
  <si>
    <t>On-line training modules from Oregon U&amp;CF (Paul Ries) for Tree Board/Advisory Council.</t>
  </si>
  <si>
    <t>Arborist routinely provides ISA CEU presentations/workshops.</t>
  </si>
  <si>
    <t>Attendance at Region 8’s UFI (biennial professional development).</t>
  </si>
  <si>
    <t>Graduate of Society of Municipal Arborist’s MFI program.</t>
  </si>
  <si>
    <t>This could be a professional in an allied field like: LA.</t>
  </si>
  <si>
    <t>Hosted at Arbor Day Foundation.</t>
  </si>
  <si>
    <t>NA</t>
  </si>
  <si>
    <t>Budgeted Annually</t>
  </si>
  <si>
    <t>Contingency Budget Process</t>
  </si>
  <si>
    <t>Funding Calculated from Community Attribute</t>
  </si>
  <si>
    <t>Funding Based on Performance Monitoring</t>
  </si>
  <si>
    <t>Urban Forestry Line Item</t>
  </si>
  <si>
    <t>Is the budget specific to urban forest management?</t>
  </si>
  <si>
    <t>Green Asset Accounting</t>
  </si>
  <si>
    <t>Maintain green infrastructure data in the “unaudited supplementary disclosure of an entity’s comprehensive annual financial report (CAFR)”.  GASB 34 implementation for municipalities.</t>
  </si>
  <si>
    <t>See WERF INFR6R12 Water Asset Accounting 2013.  http://www.werf.org/</t>
  </si>
  <si>
    <t>Budget authorized/required for tree board, tree maintenance, and/or tree planting.</t>
  </si>
  <si>
    <t>One of these must be checked to meet Standard of Care.</t>
  </si>
  <si>
    <t>Budget in terms of per capita, per tree, or for performance (e.g. per tree weighted by size class or age.</t>
  </si>
  <si>
    <t>Budget connected with/based on ecosystem service (ES) monitoring and performance.</t>
  </si>
  <si>
    <t>Also see 5.2 and 5.7 and/or 5.12.</t>
  </si>
  <si>
    <r>
      <t xml:space="preserve">A protocol is in place to prioritize urban forestry management activities during budget shortfalls; e.g. during times of limited funding for: </t>
    </r>
    <r>
      <rPr>
        <vertAlign val="superscript"/>
        <sz val="10"/>
        <color theme="1"/>
        <rFont val="Calibri"/>
        <family val="2"/>
        <scheme val="minor"/>
      </rPr>
      <t xml:space="preserve">1) </t>
    </r>
    <r>
      <rPr>
        <sz val="10"/>
        <color theme="1"/>
        <rFont val="Calibri"/>
        <family val="2"/>
        <scheme val="minor"/>
      </rPr>
      <t xml:space="preserve">risk management, </t>
    </r>
    <r>
      <rPr>
        <vertAlign val="superscript"/>
        <sz val="10"/>
        <color theme="1"/>
        <rFont val="Calibri"/>
        <family val="2"/>
        <scheme val="minor"/>
      </rPr>
      <t xml:space="preserve">2) </t>
    </r>
    <r>
      <rPr>
        <sz val="10"/>
        <color theme="1"/>
        <rFont val="Calibri"/>
        <family val="2"/>
        <scheme val="minor"/>
      </rPr>
      <t xml:space="preserve">young tree care, </t>
    </r>
    <r>
      <rPr>
        <vertAlign val="superscript"/>
        <sz val="10"/>
        <color theme="1"/>
        <rFont val="Calibri"/>
        <family val="2"/>
        <scheme val="minor"/>
      </rPr>
      <t xml:space="preserve">3) </t>
    </r>
    <r>
      <rPr>
        <sz val="10"/>
        <color theme="1"/>
        <rFont val="Calibri"/>
        <family val="2"/>
        <scheme val="minor"/>
      </rPr>
      <t>mulching.</t>
    </r>
  </si>
  <si>
    <t>Communication Protocol</t>
  </si>
  <si>
    <t>Established protocol and mechanism(s) for communication among all members of the urban forest management “community” in your municipality or organization (e.g. manager, department under control, advisory board, finance, field operations, public, NGOs, business community, developers).</t>
  </si>
  <si>
    <t>Designated staff with authority over the program and day-to-day activity. Including designated line item.</t>
  </si>
  <si>
    <t>Urban Forest Manager</t>
  </si>
  <si>
    <t>Professional urban forest manager with authority over the program and day-to-day activity. Including designated budget line item.</t>
  </si>
  <si>
    <t>Tree Board. Commission, or Advisory Council</t>
  </si>
  <si>
    <t>Establishes a board for public participation (advisory or with authority).</t>
  </si>
  <si>
    <t>See also 2.6.</t>
  </si>
  <si>
    <t>Inventories and Assessments</t>
  </si>
  <si>
    <t>Canopy Inventory (UTC)</t>
  </si>
  <si>
    <t>Periodic (≤5 year) canopy inventory and assessment. Public &amp; private.</t>
  </si>
  <si>
    <t>Ecosystem Services</t>
  </si>
  <si>
    <r>
      <t>Is there a recent (≤5 year) ecosystem services (ES) inventory &amp; assessment.  Public: 100% or street trees; Public &amp; Private: Sample; or Campus. Or, are ES calculated annually or biennially based on partial re-inventory and projected growth as a monitoring too</t>
    </r>
    <r>
      <rPr>
        <sz val="9"/>
        <color rgb="FFFF0000"/>
        <rFont val="Calibri"/>
        <family val="2"/>
        <scheme val="minor"/>
      </rPr>
      <t>l.</t>
    </r>
  </si>
  <si>
    <t>Also see 3.4 and 5.7 and/or 5.12.</t>
  </si>
  <si>
    <r>
      <t xml:space="preserve">Public Trees </t>
    </r>
    <r>
      <rPr>
        <sz val="12"/>
        <color theme="1"/>
        <rFont val="Wingdings 2"/>
        <family val="1"/>
        <charset val="2"/>
      </rPr>
      <t>V</t>
    </r>
  </si>
  <si>
    <t>The publicly controlled urban forest.</t>
  </si>
  <si>
    <t>Any one of the following sub-elements.</t>
  </si>
  <si>
    <t>Street Trees</t>
  </si>
  <si>
    <t>Is there a recent (5 year) inventory?</t>
  </si>
  <si>
    <t>Parks/Riparian Areas</t>
  </si>
  <si>
    <t>Other Public Trees</t>
  </si>
  <si>
    <t>Public facility landscaped areas, Industrial parks, green space.</t>
  </si>
  <si>
    <t>Continuous inventory on a cycle (≤5 years; i.e. panel)</t>
  </si>
  <si>
    <t>Partial re-inventory to support continuous forest inventory, growth projections, and the calculation of ecosystem services for the purpose of long-term monitoring of urban forest management performance (e.g. carbon or leaf surface).</t>
  </si>
  <si>
    <t>Also see 3.4 and 5.2.</t>
  </si>
  <si>
    <t>Private Trees</t>
  </si>
  <si>
    <t>Campus (Educational)</t>
  </si>
  <si>
    <t>Other Private Property</t>
  </si>
  <si>
    <t>Spatial</t>
  </si>
  <si>
    <t>Inventory data includes Lat/Long (i.e. GIS).  Should address the spatial relationship between the natural resource and people (i.e. residents, visitors, activities) that would help manage the resource for benefits associated with proximity (air quality, recreation, stress mitigation, improved educational opportunity).</t>
  </si>
  <si>
    <t>Maintenance and Planting Records Maintained</t>
  </si>
  <si>
    <t>Planting details (nursery, species, size, cost, contractor, etc.) maintained with inventory or as separate database or recordkeeping system.  Also pruning and removal histories.</t>
  </si>
  <si>
    <t>% Category SOC Attained:</t>
  </si>
  <si>
    <t>% Category BP Attained:</t>
  </si>
  <si>
    <t>Urban Forestry Budget</t>
  </si>
  <si>
    <t>Annual Maintenance Calendar</t>
  </si>
  <si>
    <t>Street Tree Management</t>
  </si>
  <si>
    <t>Is there a recent (5 year) plan for street trees?</t>
  </si>
  <si>
    <t>Parks/Riparian Area Management</t>
  </si>
  <si>
    <t>Is there a recent (5 year) plan ?</t>
  </si>
  <si>
    <t>Is there a recent (5 year) plan for Campus trees?</t>
  </si>
  <si>
    <t>Is there a recent (5 year) plan?</t>
  </si>
  <si>
    <t>Green Infrastructure</t>
  </si>
  <si>
    <t>Is there a plan for green infrastructure (i.e. nodes &amp; linkages)?   Large-scale projects.</t>
  </si>
  <si>
    <t>See also 9.11.</t>
  </si>
  <si>
    <t>Tree Planting</t>
  </si>
  <si>
    <t>Is there a recent (3 year) tree planting plan? ).  May be a component of another plan.</t>
  </si>
  <si>
    <t>UF as Part of a Comprehensive Plan</t>
  </si>
  <si>
    <t>Is any UF management plan referenced in the comprehensive plan (i.e. county or municipality) or master plan (i.e. Campus)?</t>
  </si>
  <si>
    <r>
      <t>Urban Forest Planning and Management</t>
    </r>
    <r>
      <rPr>
        <b/>
        <i/>
        <sz val="11"/>
        <color theme="1"/>
        <rFont val="Calibri"/>
        <family val="2"/>
        <scheme val="minor"/>
      </rPr>
      <t xml:space="preserve"> </t>
    </r>
    <r>
      <rPr>
        <sz val="9"/>
        <color theme="1"/>
        <rFont val="Calibri"/>
        <family val="2"/>
        <scheme val="minor"/>
      </rPr>
      <t>Criteria and Performance Indicators</t>
    </r>
  </si>
  <si>
    <r>
      <t xml:space="preserve">Criteria and indicators based on </t>
    </r>
    <r>
      <rPr>
        <i/>
        <sz val="9"/>
        <color theme="1"/>
        <rFont val="Calibri"/>
        <family val="2"/>
        <scheme val="minor"/>
      </rPr>
      <t>A Model of Urban Forest Sustainability</t>
    </r>
    <r>
      <rPr>
        <sz val="9"/>
        <color theme="1"/>
        <rFont val="Calibri"/>
        <family val="2"/>
        <scheme val="minor"/>
      </rPr>
      <t xml:space="preserve"> (Clark, J.R., Matheny, N.P., Cross, G., and Wake, V. 1997 Journal of Arboriculture.) or on work of W.A. Kenney, P.J.E. van Wassenaer, and A.L. Satel in </t>
    </r>
    <r>
      <rPr>
        <i/>
        <sz val="9"/>
        <color theme="1"/>
        <rFont val="Calibri"/>
        <family val="2"/>
        <scheme val="minor"/>
      </rPr>
      <t>Criteria and indicators for strategic urban forest planning and management</t>
    </r>
    <r>
      <rPr>
        <sz val="9"/>
        <color theme="1"/>
        <rFont val="Calibri"/>
        <family val="2"/>
        <scheme val="minor"/>
      </rPr>
      <t>. (2011)</t>
    </r>
  </si>
  <si>
    <t>Management Planning Activities</t>
  </si>
  <si>
    <t>See City of Tampa.
Also see 9.24. Third-party forest products certification.</t>
  </si>
  <si>
    <t>Other Written Plans</t>
  </si>
  <si>
    <t>Other natural resource plans (e.g. tree canopy).  May be a component of another plan.</t>
  </si>
  <si>
    <t>An annual calendar that defines typical activity by season.  To support scheduling.</t>
  </si>
  <si>
    <t>Following evaluation in column E, the worksheet will calculate and display the % attained for the Category, SOC and BP.</t>
  </si>
  <si>
    <t>Worksheet Protection Password:</t>
  </si>
  <si>
    <t>Line Items Applicable (Count):</t>
  </si>
  <si>
    <t xml:space="preserve">TRAQ Attained </t>
  </si>
  <si>
    <t>At least one staff or consultant is TRAQ.</t>
  </si>
  <si>
    <t>Standard of Care.</t>
  </si>
  <si>
    <t>Annual Level 1 (ANSI A300 Part 9 &amp; ISA BMP)</t>
  </si>
  <si>
    <t>All trees in high occupancy areas visited annually.</t>
  </si>
  <si>
    <t>Mitigation Prioritization</t>
  </si>
  <si>
    <t>A protocol for prioritizing mitigation following Level 1 and Level 2 assessments.  Reflects the controlling agency’s threshold for risk.</t>
  </si>
  <si>
    <t>Occupancy Areas Mapped</t>
  </si>
  <si>
    <t>Has TRAQ staff/consultant discussed/mapped occupancy levels with controlling authority?</t>
  </si>
  <si>
    <t>Recordkeeping, Reporting, and Communications</t>
  </si>
  <si>
    <t>A process has been put in place to maintain records on requests, inspections, evaluations, and mitigation of risk; and on the communications among the managers related to those risk assessments.</t>
  </si>
  <si>
    <t>Standard of Care Adopted</t>
  </si>
  <si>
    <t>Controlling authority has adopted a Standard of Care (SOC) or risk management policy.</t>
  </si>
  <si>
    <t>Tree Risk Specification</t>
  </si>
  <si>
    <r>
      <t xml:space="preserve">Is there a written specification that meets requirements of ANSI A300 (Part 9)?  </t>
    </r>
    <r>
      <rPr>
        <b/>
        <sz val="9"/>
        <color theme="1"/>
        <rFont val="Calibri"/>
        <family val="2"/>
        <scheme val="minor"/>
      </rPr>
      <t>And</t>
    </r>
    <r>
      <rPr>
        <sz val="9"/>
        <color theme="1"/>
        <rFont val="Calibri"/>
        <family val="2"/>
        <scheme val="minor"/>
      </rPr>
      <t>, has it been discussed with the controlling authority with relevance to the controlling authority’s threshold for acceptable risk?</t>
    </r>
  </si>
  <si>
    <t>Urban Tree Risk Management</t>
  </si>
  <si>
    <t>The community has prepared and follows a comprehensive program for urban tree risk management.</t>
  </si>
  <si>
    <t>See Pokorny et. al. 2003</t>
  </si>
  <si>
    <t>Risk Management Activities</t>
  </si>
  <si>
    <r>
      <t xml:space="preserve">Response/Recovery Mechanism </t>
    </r>
    <r>
      <rPr>
        <sz val="12"/>
        <color theme="1"/>
        <rFont val="Wingdings 2"/>
        <family val="1"/>
        <charset val="2"/>
      </rPr>
      <t>V</t>
    </r>
  </si>
  <si>
    <t>Staff knowledge of the municipality’s protocol for requesting disaster resources through the county or state with access to mutual aid and EMAC.</t>
  </si>
  <si>
    <r>
      <t xml:space="preserve">Urban Forestry as part of the County Disaster Plan </t>
    </r>
    <r>
      <rPr>
        <sz val="12"/>
        <color theme="1"/>
        <rFont val="Wingdings 2"/>
        <family val="1"/>
        <charset val="2"/>
      </rPr>
      <t>V</t>
    </r>
  </si>
  <si>
    <t>The UF plan (8.3) is incorporated into the county/municipal disaster plan; specifically in reference to debris management and risk mitigation.</t>
  </si>
  <si>
    <t>Urban Forestry Disaster Plan</t>
  </si>
  <si>
    <t>A separate/specific plan within the urban forestry management program (i.e. who to call, priorities).</t>
  </si>
  <si>
    <r>
      <t>See Community Forest Storm Mitigation Planning for Georgia Communities, VRMP-UTRI, or Urban Forestry Emergency Operations Planning Guide for Storm Response</t>
    </r>
    <r>
      <rPr>
        <i/>
        <sz val="9"/>
        <color rgb="FF000000"/>
        <rFont val="Calibri"/>
        <family val="2"/>
        <scheme val="minor"/>
      </rPr>
      <t>.</t>
    </r>
  </si>
  <si>
    <t>Pre-disaster Contracts</t>
  </si>
  <si>
    <t>Contracts are in place for critical needs.</t>
  </si>
  <si>
    <t>Mitigation Plan</t>
  </si>
  <si>
    <t>A mitigation plan has been developed for pre-disaster, recovery, and post-disaster.</t>
  </si>
  <si>
    <t>Also see 9.1 (e.g. pruning).</t>
  </si>
  <si>
    <r>
      <t xml:space="preserve">EMAC Mission Ready Packages (MRP) </t>
    </r>
    <r>
      <rPr>
        <sz val="9"/>
        <color theme="1"/>
        <rFont val="Wingdings 2"/>
        <family val="1"/>
        <charset val="2"/>
      </rPr>
      <t>V</t>
    </r>
  </si>
  <si>
    <t>Municipality has published disaster resources with state EM and participates in inter-state Mutual Aid to support Urban Forest Strike Teams (UFST).</t>
  </si>
  <si>
    <t>Disaster Planning Activities</t>
  </si>
  <si>
    <t>Reference and adherence to ANSI Standards for arboricultural practices (A300), safety (Z133), or Nursery Stock (ANSI Z60.1) (any or all).</t>
  </si>
  <si>
    <t>Standard of Care.  See also 9.3 – 9.10.</t>
  </si>
  <si>
    <t>Arborist Standards</t>
  </si>
  <si>
    <t>Standards of practice for arborists (i.e. Certification).</t>
  </si>
  <si>
    <t>Best Management Practices (BMPs)</t>
  </si>
  <si>
    <t>Establishes or references tree maintenance BMPs (i.e. written comprehensive standards &amp; standards).</t>
  </si>
  <si>
    <t>Fertilization and Mulching</t>
  </si>
  <si>
    <t>Fertilization or mulching standards required for conserved &amp; planted trees.</t>
  </si>
  <si>
    <t>Lightning Protection Systems</t>
  </si>
  <si>
    <t>BMP written to the ANSI A300 Standard.</t>
  </si>
  <si>
    <t>Planting</t>
  </si>
  <si>
    <t>Planting and transplanting standards required/specified.</t>
  </si>
  <si>
    <t>Pruning</t>
  </si>
  <si>
    <t>Pruning standards required for conserved &amp; planted trees.</t>
  </si>
  <si>
    <t>Removal</t>
  </si>
  <si>
    <t>Infrastructure damage, stump grinding, etc.</t>
  </si>
  <si>
    <t>Support Systems (Guying and Bracing)</t>
  </si>
  <si>
    <t>Tree Risk</t>
  </si>
  <si>
    <t>Tree risk assessment procedures; ISA BMP or equivalent.</t>
  </si>
  <si>
    <t>See also 6.10.</t>
  </si>
  <si>
    <t>Construction Management Standards</t>
  </si>
  <si>
    <t>Written standards for: tree protection, trenching/boring in CRZs, pre-construction mulching, root or limb pruning, watering (any or all).</t>
  </si>
  <si>
    <t>Design Standards</t>
  </si>
  <si>
    <t>Standards for design that specifically require trees; standards for tree placement (i.e. location), soil treatment, and/or drainage.</t>
  </si>
  <si>
    <t>Genus/Species Diversity</t>
  </si>
  <si>
    <t>Suggests or requires diversity of plant material.</t>
  </si>
  <si>
    <t>Ages/Diameter Distribution</t>
  </si>
  <si>
    <t>Specific management for  the development of an age-diverse tree population</t>
  </si>
  <si>
    <t>Minimum Planting Volume</t>
  </si>
  <si>
    <t>Minimum required root zone volume.</t>
  </si>
  <si>
    <t>Minimum Tree Size</t>
  </si>
  <si>
    <t>Minimum caliper for tree replacements, and/or minimum size of existing trees to receive tree density or canopy credit.</t>
  </si>
  <si>
    <t>Root Protection Zone (CRZ)</t>
  </si>
  <si>
    <t>Defines adequate root protection zone; Critical Root Zone (CRZ).</t>
  </si>
  <si>
    <t>Topping</t>
  </si>
  <si>
    <t>Prohibits topping or other internodal cuts (public &amp; private).</t>
  </si>
  <si>
    <t>Tree Species List</t>
  </si>
  <si>
    <t>Identifies and publishes a list of the most desirable, recommended, and/or preferred species (may include native and non-native species); alternatively, a list of species prohibited.</t>
  </si>
  <si>
    <t>Tree Quality Standards</t>
  </si>
  <si>
    <t>Written standards for tree selection at nursery in addition to Z60.1.</t>
  </si>
  <si>
    <t>Utility Right-of-Way ( ROW) Management</t>
  </si>
  <si>
    <t>Requirements for planting, pruning, and/or removal of trees within a utility ROW.</t>
  </si>
  <si>
    <t>Wood Utilization</t>
  </si>
  <si>
    <t>Larger diameter material is processed for wood products.</t>
  </si>
  <si>
    <t>Third-party forest products certification compliance</t>
  </si>
  <si>
    <t>Also see 1.13 for development standards that may include on-site utilization.</t>
  </si>
  <si>
    <t>Energy generation</t>
  </si>
  <si>
    <t>Local or regional use of chips or other woody debris for co-generation facilities.</t>
  </si>
  <si>
    <t>Composting  of Leaf and/or Other Woody Debris</t>
  </si>
  <si>
    <t>Leaves and small woody debris are captured and used on-site or processed by someone by composting for reuse.</t>
  </si>
  <si>
    <t>Adoption of one of the international standards for production of wood products (for example):
American Tree Farm System (ATFS) 
Forest Stewardship Council™ (FSC®)
Programme for the Endorsement of Forest Certification (PEFC)
Sustainable Forestry Initiative (SFI) 
Sustainable Forest Management Standard (Canada)Adoption of one of the international standards for production of wood products (for example):
American Tree Farm System (ATFS) 
Forest Stewardship Council™ (FSC®)
Programme for the Endorsement of Forest Certification (PEFC)
Sustainable Forestry Initiative (SFI) 
Sustainable Forest Management Standard (Canada)
Standards can apply to any/all publicly owned and managed trees; parks, street trees, and/or community forests.</t>
  </si>
  <si>
    <t>ANSI Standards</t>
  </si>
  <si>
    <t>ANSI Standard &amp; BMP Activities</t>
  </si>
  <si>
    <t>American Grove</t>
  </si>
  <si>
    <t>Does your community/campus use American Grove to document and publicize your urban forestry program, activity, or events?</t>
  </si>
  <si>
    <t>See also 10.11 for other Social Media.</t>
  </si>
  <si>
    <t>Education</t>
  </si>
  <si>
    <t>The urban forest is used as an educational laboratory for class activity; Kids in the Woods, PLT, high school, or college level.</t>
  </si>
  <si>
    <r>
      <t xml:space="preserve">NeighborWoods® Program </t>
    </r>
    <r>
      <rPr>
        <sz val="12"/>
        <color theme="1"/>
        <rFont val="Wingdings 2"/>
        <family val="1"/>
        <charset val="2"/>
      </rPr>
      <t>V</t>
    </r>
  </si>
  <si>
    <t>Does your community sponsor this program locally?</t>
  </si>
  <si>
    <t>From Alliance for Community Trees.</t>
  </si>
  <si>
    <t>Open Tree Map</t>
  </si>
  <si>
    <t>Public access to the community tree resource via an on-line mapping program (i.e. any Web Map Service; WMS).</t>
  </si>
  <si>
    <t>Public Perception</t>
  </si>
  <si>
    <t>Is public management consistent with private property requirements for tree protections and care?  Does the Campus/public tree management reflect neighborhood norms?</t>
  </si>
  <si>
    <t>A “good neighbor” policy.</t>
  </si>
  <si>
    <t>Recognition Programs</t>
  </si>
  <si>
    <t>Programs that raise awareness of trees or that use trees to connect the community to significant events or activities.</t>
  </si>
  <si>
    <t>Arbor Day Celebration</t>
  </si>
  <si>
    <t>Whether or not associated with Tree City USA.</t>
  </si>
  <si>
    <t>Arboretum designation</t>
  </si>
  <si>
    <t>Internal or third party arboretum designation.</t>
  </si>
  <si>
    <t>Significant trees</t>
  </si>
  <si>
    <t>For example: size, history.</t>
  </si>
  <si>
    <t>Memorial/Honorarium</t>
  </si>
  <si>
    <t>Tree planting or tree care programs than honor/memorialize individuals, organizations, or events.</t>
  </si>
  <si>
    <t>Social Media</t>
  </si>
  <si>
    <t>Does your community/campus make use of Twitter, Facebook, Blogs for internal or external outreach?</t>
  </si>
  <si>
    <t>See also 10.1.</t>
  </si>
  <si>
    <t>Tree Care</t>
  </si>
  <si>
    <t>Are volunteers trained and used for basic tree care (e.g. mulching, pruning, planting).</t>
  </si>
  <si>
    <r>
      <t>Tree Campus USA</t>
    </r>
    <r>
      <rPr>
        <sz val="14"/>
        <color theme="1"/>
        <rFont val="Calibri"/>
        <family val="2"/>
        <scheme val="minor"/>
      </rPr>
      <t>®</t>
    </r>
    <r>
      <rPr>
        <sz val="9"/>
        <color theme="1"/>
        <rFont val="Calibri"/>
        <family val="2"/>
        <scheme val="minor"/>
      </rPr>
      <t>, Tree City USA</t>
    </r>
    <r>
      <rPr>
        <sz val="14"/>
        <color theme="1"/>
        <rFont val="Calibri"/>
        <family val="2"/>
        <scheme val="minor"/>
      </rPr>
      <t>®</t>
    </r>
    <r>
      <rPr>
        <sz val="9"/>
        <color theme="1"/>
        <rFont val="Calibri"/>
        <family val="2"/>
        <scheme val="minor"/>
      </rPr>
      <t>, Tree Line USA</t>
    </r>
    <r>
      <rPr>
        <sz val="14"/>
        <color theme="1"/>
        <rFont val="Calibri"/>
        <family val="2"/>
        <scheme val="minor"/>
      </rPr>
      <t>®</t>
    </r>
  </si>
  <si>
    <t>Community/campus meets current qualifications for any of these programs.</t>
  </si>
  <si>
    <t>The Arbor Day Foundation</t>
  </si>
  <si>
    <t>Volunteer Opportunities</t>
  </si>
  <si>
    <t>Ad hoc or scheduled.  Any/all age groups. Tree Campus USA student activities.</t>
  </si>
  <si>
    <t>Activities That Build Community</t>
  </si>
  <si>
    <t>Deadwood</t>
  </si>
  <si>
    <t>Look for evidence of periodic or ad-hoc deadwood removal (i.e. lack of dead limbs ≥ 2” in the trees or on the ground).</t>
  </si>
  <si>
    <t>Genus Diversity</t>
  </si>
  <si>
    <r>
      <t xml:space="preserve">No genera exceed </t>
    </r>
    <r>
      <rPr>
        <b/>
        <u/>
        <sz val="9"/>
        <color theme="1"/>
        <rFont val="Calibri"/>
        <family val="2"/>
        <scheme val="minor"/>
      </rPr>
      <t>20%</t>
    </r>
    <r>
      <rPr>
        <sz val="9"/>
        <color theme="1"/>
        <rFont val="Calibri"/>
        <family val="2"/>
        <scheme val="minor"/>
      </rPr>
      <t xml:space="preserve"> of population; make specific observations for </t>
    </r>
    <r>
      <rPr>
        <i/>
        <sz val="9"/>
        <color theme="1"/>
        <rFont val="Calibri"/>
        <family val="2"/>
        <scheme val="minor"/>
      </rPr>
      <t>Acer</t>
    </r>
    <r>
      <rPr>
        <sz val="9"/>
        <color theme="1"/>
        <rFont val="Calibri"/>
        <family val="2"/>
        <scheme val="minor"/>
      </rPr>
      <t xml:space="preserve">, </t>
    </r>
    <r>
      <rPr>
        <i/>
        <sz val="9"/>
        <color theme="1"/>
        <rFont val="Calibri"/>
        <family val="2"/>
        <scheme val="minor"/>
      </rPr>
      <t>Quercus</t>
    </r>
    <r>
      <rPr>
        <sz val="9"/>
        <color theme="1"/>
        <rFont val="Calibri"/>
        <family val="2"/>
        <scheme val="minor"/>
      </rPr>
      <t xml:space="preserve">, and </t>
    </r>
    <r>
      <rPr>
        <i/>
        <sz val="9"/>
        <color theme="1"/>
        <rFont val="Calibri"/>
        <family val="2"/>
        <scheme val="minor"/>
      </rPr>
      <t>Ulmus</t>
    </r>
    <r>
      <rPr>
        <sz val="9"/>
        <color theme="1"/>
        <rFont val="Calibri"/>
        <family val="2"/>
        <scheme val="minor"/>
      </rPr>
      <t>.</t>
    </r>
  </si>
  <si>
    <r>
      <t xml:space="preserve">See also 11.7.  Substitute any number desired in place of </t>
    </r>
    <r>
      <rPr>
        <b/>
        <sz val="9"/>
        <color theme="1"/>
        <rFont val="Calibri"/>
        <family val="2"/>
        <scheme val="minor"/>
      </rPr>
      <t>20%</t>
    </r>
    <r>
      <rPr>
        <sz val="9"/>
        <color theme="1"/>
        <rFont val="Calibri"/>
        <family val="2"/>
        <scheme val="minor"/>
      </rPr>
      <t>.</t>
    </r>
  </si>
  <si>
    <t>Mature Tree Care</t>
  </si>
  <si>
    <t>Mature trees are retained in the landscape, and are of acceptable risk; i.e. veteran tree management.</t>
  </si>
  <si>
    <t>Mulching</t>
  </si>
  <si>
    <t>Evidence of adequate (i.e. spatial extent, depth, and material) roots zone mulching for all age classes.</t>
  </si>
  <si>
    <t>Planting Site Volume Optimization</t>
  </si>
  <si>
    <t>Are species &amp; sites matched for optimization of above ground canopy; right tree in the right spot concept.</t>
  </si>
  <si>
    <t>Rooting Volume Optimization</t>
  </si>
  <si>
    <t>Are species &amp; sites matched for optimization for below ground rooting volume; right tree in the right spot concept.</t>
  </si>
  <si>
    <t>Species Diversity</t>
  </si>
  <si>
    <r>
      <t xml:space="preserve">No species/cultivars exceed </t>
    </r>
    <r>
      <rPr>
        <b/>
        <u/>
        <sz val="9"/>
        <color theme="1"/>
        <rFont val="Calibri"/>
        <family val="2"/>
        <scheme val="minor"/>
      </rPr>
      <t>10%</t>
    </r>
    <r>
      <rPr>
        <sz val="9"/>
        <color theme="1"/>
        <rFont val="Calibri"/>
        <family val="2"/>
        <scheme val="minor"/>
      </rPr>
      <t xml:space="preserve"> of population; make specific observations for </t>
    </r>
    <r>
      <rPr>
        <i/>
        <sz val="9"/>
        <color theme="1"/>
        <rFont val="Calibri"/>
        <family val="2"/>
        <scheme val="minor"/>
      </rPr>
      <t>Acer</t>
    </r>
    <r>
      <rPr>
        <sz val="9"/>
        <color theme="1"/>
        <rFont val="Calibri"/>
        <family val="2"/>
        <scheme val="minor"/>
      </rPr>
      <t xml:space="preserve">, </t>
    </r>
    <r>
      <rPr>
        <i/>
        <sz val="9"/>
        <color theme="1"/>
        <rFont val="Calibri"/>
        <family val="2"/>
        <scheme val="minor"/>
      </rPr>
      <t>Quercus</t>
    </r>
    <r>
      <rPr>
        <sz val="9"/>
        <color theme="1"/>
        <rFont val="Calibri"/>
        <family val="2"/>
        <scheme val="minor"/>
      </rPr>
      <t xml:space="preserve">, and </t>
    </r>
    <r>
      <rPr>
        <i/>
        <sz val="9"/>
        <color theme="1"/>
        <rFont val="Calibri"/>
        <family val="2"/>
        <scheme val="minor"/>
      </rPr>
      <t>Ulmus</t>
    </r>
    <r>
      <rPr>
        <sz val="9"/>
        <color theme="1"/>
        <rFont val="Calibri"/>
        <family val="2"/>
        <scheme val="minor"/>
      </rPr>
      <t xml:space="preserve"> genera. Also evaluate the role of regionally local native species.</t>
    </r>
  </si>
  <si>
    <r>
      <t xml:space="preserve">See also 11.2.  Substitute any number desired in place of </t>
    </r>
    <r>
      <rPr>
        <b/>
        <sz val="9"/>
        <color theme="1"/>
        <rFont val="Calibri"/>
        <family val="2"/>
        <scheme val="minor"/>
      </rPr>
      <t>10%</t>
    </r>
    <r>
      <rPr>
        <sz val="9"/>
        <color theme="1"/>
        <rFont val="Calibri"/>
        <family val="2"/>
        <scheme val="minor"/>
      </rPr>
      <t>.</t>
    </r>
  </si>
  <si>
    <t>Soil Compaction</t>
  </si>
  <si>
    <t>Observe evidence of soil compaction by users or staff during maintenance.  Include “desire” lines and construction activity at time of evaluation.</t>
  </si>
  <si>
    <t>Tree Health</t>
  </si>
  <si>
    <t>Rate the overall tree health in all size (age) classes; look for crown dieback, decay, foliage density &amp; color.</t>
  </si>
  <si>
    <t>Young Tree Pruning</t>
  </si>
  <si>
    <t>Look for evidence of periodic (e.g. every 3 years to year 9) structural pruning (e.g. subordination cuts, dominant central leader, co-dominant stems lower that 20’).</t>
  </si>
  <si>
    <t>Observed Outcomes (Activity, Health)</t>
  </si>
  <si>
    <t>Base (% Achieved)</t>
  </si>
  <si>
    <t>SOC (% Achieved)</t>
  </si>
  <si>
    <t>Overall Rating</t>
  </si>
  <si>
    <t>Overall (% Achieved)</t>
  </si>
  <si>
    <t>Level</t>
  </si>
  <si>
    <t>One</t>
  </si>
  <si>
    <t>Two</t>
  </si>
  <si>
    <t>Three</t>
  </si>
  <si>
    <t>Four</t>
  </si>
  <si>
    <t>Is operating with several “key” elements</t>
  </si>
  <si>
    <t>Attainment</t>
  </si>
  <si>
    <t>Meets prerequisites for classification as an urban forest management program.  Needs improvement in multiple areas to achieve minimal overall competency</t>
  </si>
  <si>
    <t>Meets minimal level of overall competency, notwithstanding multiple opportunities for improvement within individual categories.</t>
  </si>
  <si>
    <t>Exceeds minimal level of overall competency, with commendable performance in some individual categories.  In addition, has adopted some elements beyond Base and SOC elements.</t>
  </si>
  <si>
    <t>Greatly exceeds minimal level of overall competency, with best-in-class performance in several individual categories.  In addition, has adopted significant elements beyond Base and SOC elements.</t>
  </si>
  <si>
    <t>Base Practices at 80% attainment.</t>
  </si>
  <si>
    <t xml:space="preserve">Base Practices (≥80%) and Standard of Care (≥80%).
</t>
  </si>
  <si>
    <t>Base Practices (≥90%) and Standard of Care (100%).</t>
  </si>
  <si>
    <t>Ordinance (Public)</t>
  </si>
  <si>
    <t>Staff Authority</t>
  </si>
  <si>
    <t>Item</t>
  </si>
  <si>
    <t>Percent SOC Achieved</t>
  </si>
  <si>
    <t>Percent BP Achieved</t>
  </si>
  <si>
    <t>Base Urban Forest Management Practices (BP)</t>
  </si>
  <si>
    <t>This spreadsheet was developed by Urban Forestry South (USDA Forest Service, Region 8, SRS-4952, Athens, Georgia).</t>
  </si>
  <si>
    <t>Agnes Scott College is located in Decatur, Georgia.</t>
  </si>
  <si>
    <t>Goal</t>
  </si>
  <si>
    <t>Verify Line Item Applicability: 0 = NA, 1 = Applicable</t>
  </si>
  <si>
    <r>
      <t xml:space="preserve">The worksheets: </t>
    </r>
    <r>
      <rPr>
        <b/>
        <sz val="11"/>
        <color theme="1"/>
        <rFont val="Calibri"/>
        <family val="2"/>
        <scheme val="minor"/>
      </rPr>
      <t>Overall Management Evaluation</t>
    </r>
    <r>
      <rPr>
        <sz val="11"/>
        <color theme="1"/>
        <rFont val="Calibri"/>
        <family val="2"/>
        <scheme val="minor"/>
      </rPr>
      <t xml:space="preserve">, </t>
    </r>
    <r>
      <rPr>
        <b/>
        <sz val="11"/>
        <color theme="1"/>
        <rFont val="Calibri"/>
        <family val="2"/>
        <scheme val="minor"/>
      </rPr>
      <t>Standard of Care</t>
    </r>
    <r>
      <rPr>
        <sz val="11"/>
        <color theme="1"/>
        <rFont val="Calibri"/>
        <family val="2"/>
        <scheme val="minor"/>
      </rPr>
      <t xml:space="preserve">, </t>
    </r>
    <r>
      <rPr>
        <b/>
        <sz val="11"/>
        <color theme="1"/>
        <rFont val="Calibri"/>
        <family val="2"/>
        <scheme val="minor"/>
      </rPr>
      <t>Just the Basics, and Management Level</t>
    </r>
    <r>
      <rPr>
        <sz val="11"/>
        <color theme="1"/>
        <rFont val="Calibri"/>
        <family val="2"/>
        <scheme val="minor"/>
      </rPr>
      <t xml:space="preserve"> are updated as </t>
    </r>
  </si>
  <si>
    <r>
      <t>data is entered on individual sheets (</t>
    </r>
    <r>
      <rPr>
        <b/>
        <sz val="11"/>
        <color theme="1"/>
        <rFont val="Calibri"/>
        <family val="2"/>
        <scheme val="minor"/>
      </rPr>
      <t>Audit Information</t>
    </r>
    <r>
      <rPr>
        <sz val="11"/>
        <color theme="1"/>
        <rFont val="Calibri"/>
        <family val="2"/>
        <scheme val="minor"/>
      </rPr>
      <t xml:space="preserve">, </t>
    </r>
    <r>
      <rPr>
        <b/>
        <sz val="11"/>
        <color theme="1"/>
        <rFont val="Calibri"/>
        <family val="2"/>
        <scheme val="minor"/>
      </rPr>
      <t>Category 1-10</t>
    </r>
    <r>
      <rPr>
        <sz val="11"/>
        <color theme="1"/>
        <rFont val="Calibri"/>
        <family val="2"/>
        <scheme val="minor"/>
      </rPr>
      <t xml:space="preserve">, and </t>
    </r>
    <r>
      <rPr>
        <b/>
        <sz val="11"/>
        <color theme="1"/>
        <rFont val="Calibri"/>
        <family val="2"/>
        <scheme val="minor"/>
      </rPr>
      <t>Green Asset Evaluation)</t>
    </r>
    <r>
      <rPr>
        <sz val="11"/>
        <color theme="1"/>
        <rFont val="Calibri"/>
        <family val="2"/>
        <scheme val="minor"/>
      </rPr>
      <t>.</t>
    </r>
  </si>
  <si>
    <t>The red arrows                          indicate those data entry fields (i.e. the matrix area).</t>
  </si>
  <si>
    <t>List all documents obtained during the discovery phase and develop martrix to reveal gaps</t>
  </si>
  <si>
    <t>Standard of Care (SOC) elements (highlighted in yellow) represent the minimum group of urban forestry management “best practices” that a municipality/owner  should consider for implementation.  Standard of Care refers to the degree of prudence and caution required of an individual who is under a duty of care (i.e. legal obligation of the controlling authority, owner, or manager) to minimize risk.</t>
  </si>
  <si>
    <t>Neither state, regional, nor national minimum management components have been established for Standard of Care but these are interim recommendations for your consideration.</t>
  </si>
  <si>
    <t>A Basic Urban Forest Sustainability and Audit Report</t>
  </si>
  <si>
    <t>Categories</t>
  </si>
  <si>
    <t>Policy</t>
  </si>
  <si>
    <t>Capacity</t>
  </si>
  <si>
    <t>Funding</t>
  </si>
  <si>
    <t>Plans</t>
  </si>
  <si>
    <t>Risk</t>
  </si>
  <si>
    <t>Disaster</t>
  </si>
  <si>
    <t>Practices</t>
  </si>
  <si>
    <t>Video Tutorials</t>
  </si>
  <si>
    <t>UFSM AuditCalc Tutorials: Using this Spreadsheet Tool</t>
  </si>
  <si>
    <t>&lt; Enter UF Audit Team Notes Here &gt;</t>
  </si>
  <si>
    <t>Green Asset Evaluation (Observed Outcomes)</t>
  </si>
  <si>
    <t xml:space="preserve">&lt; enter the name of the city or college &gt; </t>
  </si>
  <si>
    <t>&lt; enter the team leaders name here &gt;</t>
  </si>
  <si>
    <t>&lt; enter team member names here &gt;</t>
  </si>
  <si>
    <t>&lt; enter arborist here &gt;</t>
  </si>
  <si>
    <t>Tool:</t>
  </si>
  <si>
    <t>Other resources…</t>
  </si>
  <si>
    <r>
      <t xml:space="preserve">To begin the audit process the audit team is making this </t>
    </r>
    <r>
      <rPr>
        <b/>
        <sz val="12"/>
        <rFont val="Calibri"/>
        <family val="2"/>
        <scheme val="minor"/>
      </rPr>
      <t>Call for Documents</t>
    </r>
    <r>
      <rPr>
        <sz val="12"/>
        <rFont val="Calibri"/>
        <family val="2"/>
        <scheme val="minor"/>
      </rPr>
      <t xml:space="preserve"> of material related to our urban forest management progrram.</t>
    </r>
  </si>
  <si>
    <r>
      <t xml:space="preserve">Enter the title (or other identification) for each document being provided in this matrix </t>
    </r>
    <r>
      <rPr>
        <sz val="12"/>
        <rFont val="Calibri"/>
        <family val="2"/>
        <scheme val="minor"/>
      </rPr>
      <t>and indicate category (ies) of applicability.</t>
    </r>
  </si>
  <si>
    <t>Item(s) Provided (Title or ID)</t>
  </si>
  <si>
    <t>Audit Discovery Request: Document Items by Category</t>
  </si>
  <si>
    <t>For an efficient and effective audit process the documents (i.e. policy statements, photos, PR, reports, plans, BMPs, maps, data) should be identified to a category item.</t>
  </si>
  <si>
    <t>Credits:</t>
  </si>
  <si>
    <t>Inventory Data Collection</t>
  </si>
  <si>
    <r>
      <t xml:space="preserve">Documents can be in hard-copy, digital, or as links.  It is recognized that one document may address several of the listed items. </t>
    </r>
    <r>
      <rPr>
        <b/>
        <sz val="12"/>
        <color rgb="FFFF0000"/>
        <rFont val="Calibri"/>
        <family val="2"/>
        <scheme val="minor"/>
      </rPr>
      <t>Examples in red</t>
    </r>
    <r>
      <rPr>
        <sz val="12"/>
        <rFont val="Calibri"/>
        <family val="2"/>
        <scheme val="minor"/>
      </rPr>
      <t>.</t>
    </r>
  </si>
  <si>
    <t>Discovery Matrix &amp; Gaps</t>
  </si>
  <si>
    <t>Category &amp; Element</t>
  </si>
  <si>
    <t>Element Description</t>
  </si>
  <si>
    <t>Crosswalk: Pertains to Item(s)</t>
  </si>
  <si>
    <t xml:space="preserve"> </t>
  </si>
  <si>
    <t>Instructions:</t>
  </si>
  <si>
    <t>Category rows (pale orange) will update from element rows.</t>
  </si>
  <si>
    <t>Enter document titles under Items Provided (I); use Alt+Enter for mulitple lines (i.e. documents).</t>
  </si>
  <si>
    <t>Expand category and enter number of documents that support each element (grey area) and any of the other 10 audit categories (i.e. crosswalk).</t>
  </si>
  <si>
    <t>Open &amp; close categories with the + (expand) or - (condense) on each row, or by clicking on the 1 (condense) or 2 (expand) in upper left of worksheet.</t>
  </si>
  <si>
    <t>&lt; to be develped post-beta &gt;</t>
  </si>
  <si>
    <r>
      <t xml:space="preserve">Place 0 (NA) in those cells that do NOT apply to </t>
    </r>
    <r>
      <rPr>
        <b/>
        <sz val="11"/>
        <color theme="1"/>
        <rFont val="Calibri"/>
        <family val="2"/>
        <scheme val="minor"/>
      </rPr>
      <t>your entity</t>
    </r>
    <r>
      <rPr>
        <sz val="11"/>
        <color theme="1"/>
        <rFont val="Calibri"/>
        <family val="2"/>
        <scheme val="minor"/>
      </rPr>
      <t>.  Note: You only have to adjust the column (H, I, J, K, L, or M) appplicable to you.</t>
    </r>
  </si>
  <si>
    <t>Each of the main worksheets is laid out as presented in the example (Category 4) that follows.</t>
  </si>
  <si>
    <r>
      <t xml:space="preserve">Users may adjust the grey matrix on the right to control the category items that are evaluated for any entity (in this example, </t>
    </r>
    <r>
      <rPr>
        <b/>
        <sz val="11"/>
        <color theme="1"/>
        <rFont val="Calibri"/>
        <family val="2"/>
        <scheme val="minor"/>
      </rPr>
      <t>5) Municipality</t>
    </r>
    <r>
      <rPr>
        <sz val="11"/>
        <color theme="1"/>
        <rFont val="Calibri"/>
        <family val="2"/>
        <scheme val="minor"/>
      </rPr>
      <t xml:space="preserve"> see cell C6).</t>
    </r>
  </si>
  <si>
    <r>
      <t xml:space="preserve">The </t>
    </r>
    <r>
      <rPr>
        <b/>
        <sz val="11"/>
        <color theme="1"/>
        <rFont val="Calibri"/>
        <family val="2"/>
        <scheme val="minor"/>
      </rPr>
      <t>primary user interaction</t>
    </r>
    <r>
      <rPr>
        <sz val="11"/>
        <color theme="1"/>
        <rFont val="Calibri"/>
        <family val="2"/>
        <scheme val="minor"/>
      </rPr>
      <t xml:space="preserve"> is in column E (marked with </t>
    </r>
    <r>
      <rPr>
        <sz val="11"/>
        <color theme="1"/>
        <rFont val="Wingdings"/>
        <charset val="2"/>
      </rPr>
      <t>þ</t>
    </r>
    <r>
      <rPr>
        <sz val="11"/>
        <color theme="1"/>
        <rFont val="Calibri"/>
        <family val="2"/>
        <scheme val="minor"/>
      </rPr>
      <t>) of each sheet by selecting from the dropdown menus.</t>
    </r>
  </si>
  <si>
    <t>and by entering audit team notes as needed.  The blue dashed arrows.</t>
  </si>
  <si>
    <t>UFSM ReviewCalc</t>
  </si>
  <si>
    <t>Review Category 2: Professional Capacity and Training</t>
  </si>
  <si>
    <t>Quick access to the Urban Forest Sustainability and Management Review calculation tool.</t>
  </si>
  <si>
    <t>UF Review Instructions</t>
  </si>
  <si>
    <t>A  general description of the Review process and use of this calculation (spreadsheet) tool.</t>
  </si>
  <si>
    <t>Review Information</t>
  </si>
  <si>
    <t>Enter basic Review and Review team information here.</t>
  </si>
  <si>
    <t>Review Category 1: Management Policy and Ordinances.</t>
  </si>
  <si>
    <t>Review Category 3: Funding and Accounting</t>
  </si>
  <si>
    <t>Review Category 4: Decision &amp; Management Authority</t>
  </si>
  <si>
    <t>Review Category 5: Inventories</t>
  </si>
  <si>
    <t>Review Category 6: Urban Forest Management Plans</t>
  </si>
  <si>
    <t>Review Category 7: Risk Management</t>
  </si>
  <si>
    <t>Review Category 8: Disaster Planning</t>
  </si>
  <si>
    <t>Review Category 9: Practices (Standards and BMPs)</t>
  </si>
  <si>
    <t>Review Category 10: Community</t>
  </si>
  <si>
    <t>Review evaluation for legal Standard of Care (SOC)</t>
  </si>
  <si>
    <t>Review evaluation for urban forest management Basic Practices (BP)</t>
  </si>
  <si>
    <t>Review Report</t>
  </si>
  <si>
    <t>Basic report from your UF Review is generated here</t>
  </si>
  <si>
    <t>Several tutorials that step the user through the UF Review process using this spreadsheet</t>
  </si>
  <si>
    <t>It is based on the current Urban Forest Sustainability and Management Review Checklist developed in cooperation</t>
  </si>
  <si>
    <t>Sustainability and Management Atainment Level</t>
  </si>
  <si>
    <t>(Review Lead)</t>
  </si>
  <si>
    <t>Paul Johnson, Texas Forest Service</t>
  </si>
  <si>
    <t>with Agnes Scott College Office of Sustainability and the ASC Arboretum Advisory Council and the City of Austin (TX).</t>
  </si>
  <si>
    <t>Urban Interface (WUI)</t>
  </si>
  <si>
    <t>Programs or policies that improve management of the urban interface for fire and/or invasive species.</t>
  </si>
  <si>
    <t>Organizational Communications</t>
  </si>
  <si>
    <t>Process, procedures, and protocol for cross-professional communications within the organization (all departments “touching” trees).</t>
  </si>
  <si>
    <t>Green Stromwater Infrastructure (GSI)</t>
  </si>
  <si>
    <t>BMP stormwater mitigation practices and locations (e.g. Washington DC)</t>
  </si>
  <si>
    <t>Invasive Management</t>
  </si>
  <si>
    <t>Plan to address and manage invasive: plants, insects, and disease.</t>
  </si>
  <si>
    <t>Urban Forst Strike Team</t>
  </si>
  <si>
    <t>Participation in the UFST project.</t>
  </si>
  <si>
    <t>Also see 8.1</t>
  </si>
  <si>
    <t>Green Stormwater Infrastructure (GSI)</t>
  </si>
  <si>
    <t>BMPs for site level GI practices like rain gardens and swales.  Small-scale projects.</t>
  </si>
  <si>
    <t>Safety</t>
  </si>
  <si>
    <t>Community has adopted or developed applicable (written) standards for local urban tree inventory data collection to support QA/QC.  Currently, there is no identified national standard.  But, the following have components and elements worth noting.</t>
  </si>
  <si>
    <t>Urban Agriculture</t>
  </si>
  <si>
    <t>Enabled urban food forestry practices.</t>
  </si>
  <si>
    <t>Chipped material should be included in Energy (see 9.28) or the composting item (see 9.29).
Also see 9.27 certification item.</t>
  </si>
  <si>
    <t>See also 9.26 (large diameter material).</t>
  </si>
  <si>
    <t>Active Communications</t>
  </si>
  <si>
    <t>Press releases, regular news articles (print), “State of the Urban Forest” reports, periodic analysis of threats and opportunities.</t>
  </si>
  <si>
    <t>See also 10.11.</t>
  </si>
  <si>
    <r>
      <t xml:space="preserve">The </t>
    </r>
    <r>
      <rPr>
        <b/>
        <sz val="11"/>
        <color theme="1"/>
        <rFont val="Calibri"/>
        <family val="2"/>
        <scheme val="minor"/>
      </rPr>
      <t xml:space="preserve">Urban Forest Sustainability &amp; Management Review System </t>
    </r>
    <r>
      <rPr>
        <sz val="11"/>
        <color theme="1"/>
        <rFont val="Calibri"/>
        <family val="2"/>
        <scheme val="minor"/>
      </rPr>
      <t>is designed to provide a framework for comprehensively evaluating urban forest management programs.</t>
    </r>
  </si>
  <si>
    <t>This review system (the checklist and the process) can be used for municipal or county urban forest management programs, or to evaluate college or corporate campus management programs.  The system is particularly suited for the independent evaluation of participants in Arbor Day Foundation programs like Tree Campus USA®, Tree City USA® or Tree Line USA®.</t>
  </si>
  <si>
    <t>The review identifies program components that are critical for a community interested in setting and consistently achieving sustainability targets (e.g. urban tree canopy).</t>
  </si>
  <si>
    <t>Using the review checklist categories</t>
  </si>
  <si>
    <t>The primary objectives of the review are to:</t>
  </si>
  <si>
    <t>Each main category contains a series of components specific to that category, along with a brief description of the component.  Some components are highlighted if they are a “Base Practice” within an urban forest program, and others highlighted if they represent a “Standard of Care (SOC).”  Base practices are urban forest management elements that may effectively expand a program beyond the SOC group. The Standard of Care group of components represents the minimum group of urban forestry management “best practices” that a municipality/owner should consider for implementation.  Standard of Care refers to the degree of prudence and caution required of an individual who is under a duty of care (i.e. legal obligation of the controlling authority, owner, or manager) to minimize risk.    The review checklist may be used in its entirety (all ten categories) to create a comprehensive evaluation of your program, or only selected program areas of interest may be assessed.  For example: you wish to only evaluate your urban forest management program for Standards of Care (10 elements in 6 of the categories); or, Base Practices (an additional 10 element’s in 7 categories); alternatively, you may only wish to evaluate selected categories (e.g. Professional Capacity and Risk Management).</t>
  </si>
  <si>
    <t>The review checklist can also be used in a less formal process, internally, to develop a cursory “snapshot” of an urban forest management program for the purpose of identifying program strengths and evaluating perceived deficiencies.  This is NOT a financial review, BUT a program design, capacity, and operational review.  The review is looking for the presence or absence of critical elements of an urban forest management program that are grouped into ten basic categories.  The review also includes an on-site evaluation of the health of the green assets managed to evaluate the connection between the theoretical program and what is actually happening on the ground. Some form of green asset evaluation (i.e. Category 11) should be performed regardless of the type (e.g. internal vs. external) or extent (e.g. SOC vs. selected category) of the review.  This component of the review makes the connection between plan and practice.  That is, how well is our plan and process for urban forest management maintaining healthy, low risk, productive trees?  The review process may be used internally (ad-hoc) by program managers, or as an independent evaluation lead by an external lead reviewor and review team.</t>
  </si>
  <si>
    <t>As the urban forest sustainability and management review is being tested guides and tools are being developed.  These resources can be found at www.UrbanForestrySouth.org by seaching with the tag review.  When appropriate these resources  they will be included in this Excel spreadsheet as additonal worksheets.</t>
  </si>
  <si>
    <t>Using this spreadsheet, start with the review Information tab and provide basic review information.  Use dropdown selection for Entity and Evaluation Goal.</t>
  </si>
  <si>
    <t>Review Lead:</t>
  </si>
  <si>
    <r>
      <t xml:space="preserve">Please include a crosswalk for material identified in </t>
    </r>
    <r>
      <rPr>
        <b/>
        <sz val="12"/>
        <rFont val="Calibri"/>
        <family val="2"/>
        <scheme val="minor"/>
      </rPr>
      <t>Pertains to Item(s)</t>
    </r>
    <r>
      <rPr>
        <sz val="12"/>
        <rFont val="Calibri"/>
        <family val="2"/>
        <scheme val="minor"/>
      </rPr>
      <t xml:space="preserve"> using the catergory &amp; item number from the first column.</t>
    </r>
  </si>
  <si>
    <t>Based on Jim Abbot's (ASC Arboretum Advisory Council) original summary of documents discovered for the 2014 audit.</t>
  </si>
  <si>
    <t>Based on Katie Fernholz's (Dovetail Partners) 2015 Raleigh (NC) review discovery process.</t>
  </si>
  <si>
    <t>Urban Forest Sustainability and Management Review (v6.6a Austin)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</si>
</sst>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800]dddd\,\ mmmm\ dd\,\ yyyy"/>
    <numFmt numFmtId="165" formatCode="0.0%"/>
  </numFmts>
  <fonts count="48" x14ac:knownFonts="1">
    <font>
      <sz val="11"/>
      <color theme="1"/>
      <name val="Calibri"/>
      <family val="2"/>
      <scheme val="minor"/>
    </font>
    <font>
      <b/>
      <sz val="11"/>
      <color theme="1"/>
      <name val="Calibri"/>
      <family val="2"/>
      <scheme val="minor"/>
    </font>
    <font>
      <sz val="11"/>
      <color theme="1"/>
      <name val="Calibri"/>
      <family val="2"/>
    </font>
    <font>
      <b/>
      <sz val="12"/>
      <color theme="1"/>
      <name val="Calibri"/>
      <family val="2"/>
      <scheme val="minor"/>
    </font>
    <font>
      <sz val="10"/>
      <color theme="1"/>
      <name val="Calibri"/>
      <family val="2"/>
      <scheme val="minor"/>
    </font>
    <font>
      <b/>
      <sz val="9"/>
      <color theme="1"/>
      <name val="Calibri"/>
      <family val="2"/>
      <scheme val="minor"/>
    </font>
    <font>
      <sz val="10"/>
      <color theme="1"/>
      <name val="Wingdings 2"/>
      <family val="1"/>
      <charset val="2"/>
    </font>
    <font>
      <b/>
      <sz val="10"/>
      <color theme="1"/>
      <name val="Calibri"/>
      <family val="2"/>
      <scheme val="minor"/>
    </font>
    <font>
      <b/>
      <sz val="14"/>
      <color theme="1"/>
      <name val="Calibri"/>
      <family val="2"/>
      <scheme val="minor"/>
    </font>
    <font>
      <sz val="11"/>
      <color theme="1"/>
      <name val="Comic Sans MS"/>
      <family val="4"/>
    </font>
    <font>
      <sz val="11"/>
      <color theme="1"/>
      <name val="Wingdings 2"/>
      <family val="1"/>
      <charset val="2"/>
    </font>
    <font>
      <b/>
      <u/>
      <sz val="11"/>
      <color theme="1"/>
      <name val="Calibri"/>
      <family val="2"/>
      <scheme val="minor"/>
    </font>
    <font>
      <sz val="11"/>
      <color theme="1"/>
      <name val="Wingdings"/>
      <charset val="2"/>
    </font>
    <font>
      <sz val="7"/>
      <color theme="1"/>
      <name val="Times New Roman"/>
      <family val="1"/>
    </font>
    <font>
      <sz val="10"/>
      <color rgb="FF000000"/>
      <name val="Arial"/>
      <family val="2"/>
    </font>
    <font>
      <b/>
      <i/>
      <sz val="11"/>
      <color theme="1"/>
      <name val="Calibri"/>
      <family val="2"/>
      <scheme val="minor"/>
    </font>
    <font>
      <u/>
      <sz val="11"/>
      <color theme="10"/>
      <name val="Calibri"/>
      <family val="2"/>
      <scheme val="minor"/>
    </font>
    <font>
      <b/>
      <u/>
      <sz val="12"/>
      <color theme="10"/>
      <name val="Calibri"/>
      <family val="2"/>
      <scheme val="minor"/>
    </font>
    <font>
      <b/>
      <u/>
      <sz val="11"/>
      <color theme="10"/>
      <name val="Calibri"/>
      <family val="2"/>
      <scheme val="minor"/>
    </font>
    <font>
      <b/>
      <u/>
      <sz val="14"/>
      <color theme="10"/>
      <name val="Calibri"/>
      <family val="2"/>
      <scheme val="minor"/>
    </font>
    <font>
      <sz val="9"/>
      <color theme="1"/>
      <name val="Calibri"/>
      <family val="2"/>
      <scheme val="minor"/>
    </font>
    <font>
      <vertAlign val="superscript"/>
      <sz val="10"/>
      <color theme="1"/>
      <name val="Calibri"/>
      <family val="2"/>
      <scheme val="minor"/>
    </font>
    <font>
      <sz val="9"/>
      <color rgb="FFFF0000"/>
      <name val="Calibri"/>
      <family val="2"/>
      <scheme val="minor"/>
    </font>
    <font>
      <sz val="12"/>
      <color theme="1"/>
      <name val="Wingdings 2"/>
      <family val="1"/>
      <charset val="2"/>
    </font>
    <font>
      <i/>
      <sz val="9"/>
      <color theme="1"/>
      <name val="Calibri"/>
      <family val="2"/>
      <scheme val="minor"/>
    </font>
    <font>
      <sz val="11"/>
      <color theme="0"/>
      <name val="Calibri"/>
      <family val="2"/>
      <scheme val="minor"/>
    </font>
    <font>
      <sz val="12"/>
      <color theme="1"/>
      <name val="Cambria"/>
      <family val="1"/>
    </font>
    <font>
      <sz val="12"/>
      <color theme="1"/>
      <name val="Comic Sans MS"/>
      <family val="4"/>
    </font>
    <font>
      <sz val="12"/>
      <color theme="1"/>
      <name val="Calibri"/>
      <family val="2"/>
      <scheme val="minor"/>
    </font>
    <font>
      <i/>
      <sz val="9"/>
      <color rgb="FF000000"/>
      <name val="Calibri"/>
      <family val="2"/>
      <scheme val="minor"/>
    </font>
    <font>
      <sz val="9"/>
      <color theme="1"/>
      <name val="Wingdings 2"/>
      <family val="1"/>
      <charset val="2"/>
    </font>
    <font>
      <b/>
      <sz val="10"/>
      <color theme="1"/>
      <name val="Wingdings"/>
      <charset val="2"/>
    </font>
    <font>
      <sz val="14"/>
      <color theme="1"/>
      <name val="Calibri"/>
      <family val="2"/>
      <scheme val="minor"/>
    </font>
    <font>
      <b/>
      <u/>
      <sz val="9"/>
      <color theme="1"/>
      <name val="Calibri"/>
      <family val="2"/>
      <scheme val="minor"/>
    </font>
    <font>
      <b/>
      <sz val="14"/>
      <color theme="1"/>
      <name val="Wingdings"/>
      <charset val="2"/>
    </font>
    <font>
      <sz val="11"/>
      <color theme="1"/>
      <name val="Cambria"/>
      <family val="1"/>
      <scheme val="major"/>
    </font>
    <font>
      <sz val="11"/>
      <color theme="0" tint="-0.34998626667073579"/>
      <name val="Calibri"/>
      <family val="2"/>
      <scheme val="minor"/>
    </font>
    <font>
      <sz val="11"/>
      <name val="Calibri"/>
      <family val="2"/>
      <scheme val="minor"/>
    </font>
    <font>
      <b/>
      <sz val="10"/>
      <color theme="0" tint="-0.34998626667073579"/>
      <name val="Calibri"/>
      <family val="2"/>
      <scheme val="minor"/>
    </font>
    <font>
      <sz val="8"/>
      <color theme="1"/>
      <name val="Calibri"/>
      <family val="2"/>
      <scheme val="minor"/>
    </font>
    <font>
      <sz val="10"/>
      <color theme="1"/>
      <name val="Comic Sans MS"/>
      <family val="4"/>
    </font>
    <font>
      <sz val="12"/>
      <name val="Calibri"/>
      <family val="2"/>
      <scheme val="minor"/>
    </font>
    <font>
      <b/>
      <sz val="12"/>
      <name val="Calibri"/>
      <family val="2"/>
      <scheme val="minor"/>
    </font>
    <font>
      <b/>
      <sz val="11"/>
      <color rgb="FFFF0000"/>
      <name val="Calibri"/>
      <family val="2"/>
      <scheme val="minor"/>
    </font>
    <font>
      <b/>
      <sz val="12"/>
      <color rgb="FFFF0000"/>
      <name val="Calibri"/>
      <family val="2"/>
      <scheme val="minor"/>
    </font>
    <font>
      <sz val="11"/>
      <color rgb="FFFF0000"/>
      <name val="Calibri"/>
      <family val="2"/>
      <scheme val="minor"/>
    </font>
    <font>
      <b/>
      <u/>
      <sz val="12"/>
      <color theme="1"/>
      <name val="Calibri"/>
      <family val="2"/>
      <scheme val="minor"/>
    </font>
    <font>
      <b/>
      <sz val="16"/>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C5E0B3"/>
        <bgColor indexed="64"/>
      </patternFill>
    </fill>
    <fill>
      <patternFill patternType="solid">
        <fgColor theme="9"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ck">
        <color theme="0" tint="-0.499984740745262"/>
      </left>
      <right style="thick">
        <color theme="0" tint="-0.499984740745262"/>
      </right>
      <top style="thick">
        <color theme="0" tint="-0.499984740745262"/>
      </top>
      <bottom style="thick">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diagonal/>
    </border>
    <border>
      <left/>
      <right style="thin">
        <color auto="1"/>
      </right>
      <top/>
      <bottom/>
      <diagonal/>
    </border>
    <border>
      <left/>
      <right style="thin">
        <color auto="1"/>
      </right>
      <top/>
      <bottom style="thin">
        <color auto="1"/>
      </bottom>
      <diagonal/>
    </border>
    <border>
      <left style="thin">
        <color indexed="64"/>
      </left>
      <right style="thick">
        <color theme="0" tint="-0.499984740745262"/>
      </right>
      <top style="thin">
        <color indexed="64"/>
      </top>
      <bottom style="medium">
        <color rgb="FF000000"/>
      </bottom>
      <diagonal/>
    </border>
    <border>
      <left style="thin">
        <color indexed="64"/>
      </left>
      <right style="thick">
        <color theme="0" tint="-0.499984740745262"/>
      </right>
      <top style="thin">
        <color indexed="64"/>
      </top>
      <bottom style="thin">
        <color indexed="64"/>
      </bottom>
      <diagonal/>
    </border>
    <border>
      <left style="thin">
        <color indexed="64"/>
      </left>
      <right style="thick">
        <color theme="0" tint="-0.499984740745262"/>
      </right>
      <top style="thin">
        <color indexed="64"/>
      </top>
      <bottom/>
      <diagonal/>
    </border>
    <border>
      <left style="thin">
        <color indexed="64"/>
      </left>
      <right style="thin">
        <color indexed="64"/>
      </right>
      <top style="thick">
        <color theme="0" tint="-0.499984740745262"/>
      </top>
      <bottom style="thick">
        <color theme="0" tint="-0.499984740745262"/>
      </bottom>
      <diagonal/>
    </border>
    <border>
      <left/>
      <right style="thin">
        <color indexed="64"/>
      </right>
      <top style="thick">
        <color theme="0" tint="-0.499984740745262"/>
      </top>
      <bottom style="thick">
        <color theme="0" tint="-0.499984740745262"/>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16" fillId="0" borderId="0" applyNumberFormat="0" applyFill="0" applyBorder="0" applyAlignment="0" applyProtection="0"/>
  </cellStyleXfs>
  <cellXfs count="323">
    <xf numFmtId="0" fontId="0" fillId="0" borderId="0" xfId="0"/>
    <xf numFmtId="0" fontId="9" fillId="0" borderId="0" xfId="0" applyFont="1" applyAlignment="1" applyProtection="1">
      <alignment horizontal="left" indent="1"/>
      <protection locked="0"/>
    </xf>
    <xf numFmtId="0" fontId="9" fillId="0" borderId="0" xfId="0" applyFont="1" applyAlignment="1" applyProtection="1">
      <alignment horizontal="left" vertical="center" indent="1"/>
      <protection locked="0"/>
    </xf>
    <xf numFmtId="0" fontId="7" fillId="3" borderId="7" xfId="0" applyFont="1" applyFill="1" applyBorder="1" applyAlignment="1" applyProtection="1">
      <alignment horizontal="left" vertical="center" wrapText="1" indent="1"/>
      <protection locked="0"/>
    </xf>
    <xf numFmtId="0" fontId="7" fillId="2" borderId="7" xfId="0" applyFont="1" applyFill="1" applyBorder="1" applyAlignment="1" applyProtection="1">
      <alignment horizontal="left" vertical="center" wrapText="1" indent="1"/>
      <protection locked="0"/>
    </xf>
    <xf numFmtId="0" fontId="0" fillId="0" borderId="0" xfId="0" applyProtection="1"/>
    <xf numFmtId="0" fontId="0" fillId="6" borderId="9" xfId="0" applyFill="1" applyBorder="1" applyAlignment="1" applyProtection="1">
      <alignment horizontal="center" vertical="center"/>
      <protection locked="0"/>
    </xf>
    <xf numFmtId="0" fontId="0" fillId="0" borderId="0" xfId="0" applyFont="1" applyProtection="1"/>
    <xf numFmtId="0" fontId="1" fillId="0" borderId="0" xfId="0" applyFont="1" applyProtection="1"/>
    <xf numFmtId="0" fontId="0" fillId="0" borderId="0" xfId="0" applyAlignment="1" applyProtection="1">
      <alignment horizontal="center"/>
    </xf>
    <xf numFmtId="0" fontId="0" fillId="0" borderId="0" xfId="0" applyAlignment="1" applyProtection="1">
      <alignment horizontal="left"/>
    </xf>
    <xf numFmtId="0" fontId="0" fillId="0" borderId="0" xfId="0" applyAlignment="1" applyProtection="1">
      <alignment horizontal="left" vertical="center"/>
    </xf>
    <xf numFmtId="0" fontId="2" fillId="0" borderId="0" xfId="0" applyFont="1" applyAlignment="1" applyProtection="1">
      <alignment horizontal="right" vertical="center" indent="1"/>
    </xf>
    <xf numFmtId="0" fontId="8" fillId="0" borderId="0" xfId="0" applyFont="1" applyAlignment="1" applyProtection="1">
      <alignment horizontal="center" vertical="center"/>
    </xf>
    <xf numFmtId="0" fontId="3" fillId="0" borderId="0" xfId="0" applyFont="1" applyProtection="1"/>
    <xf numFmtId="0" fontId="1" fillId="7" borderId="0" xfId="0" applyFont="1" applyFill="1" applyAlignment="1" applyProtection="1">
      <alignment horizontal="left" vertical="center"/>
    </xf>
    <xf numFmtId="0" fontId="0" fillId="7" borderId="0" xfId="0" applyFill="1" applyAlignment="1" applyProtection="1">
      <alignment horizontal="left" vertical="center"/>
    </xf>
    <xf numFmtId="0" fontId="0" fillId="7" borderId="0" xfId="0" applyFill="1" applyProtection="1"/>
    <xf numFmtId="0" fontId="1" fillId="0" borderId="0" xfId="0" applyFont="1" applyAlignment="1" applyProtection="1">
      <alignment horizontal="center" vertical="center"/>
    </xf>
    <xf numFmtId="0" fontId="1" fillId="0" borderId="0" xfId="0" applyFont="1" applyAlignment="1" applyProtection="1">
      <alignment horizontal="left" vertical="center" indent="1"/>
    </xf>
    <xf numFmtId="0" fontId="1" fillId="0" borderId="0" xfId="0" applyFont="1" applyAlignment="1" applyProtection="1">
      <alignment horizontal="left" vertical="center"/>
    </xf>
    <xf numFmtId="2" fontId="4" fillId="0" borderId="1" xfId="0" applyNumberFormat="1" applyFont="1" applyBorder="1" applyAlignment="1" applyProtection="1">
      <alignment horizontal="center" vertical="center"/>
    </xf>
    <xf numFmtId="0" fontId="4" fillId="0" borderId="1" xfId="0" applyFont="1" applyBorder="1" applyAlignment="1" applyProtection="1">
      <alignment horizontal="left" vertical="center" wrapText="1" indent="1"/>
    </xf>
    <xf numFmtId="0" fontId="4" fillId="0" borderId="2" xfId="0" applyFont="1" applyBorder="1" applyAlignment="1" applyProtection="1">
      <alignment horizontal="left" vertical="center" wrapText="1" indent="1"/>
    </xf>
    <xf numFmtId="0" fontId="7" fillId="3" borderId="4" xfId="0" applyFont="1" applyFill="1" applyBorder="1" applyAlignment="1" applyProtection="1">
      <alignment horizontal="left" vertical="center" wrapText="1" indent="1"/>
    </xf>
    <xf numFmtId="0" fontId="0" fillId="0" borderId="0" xfId="0" applyAlignment="1" applyProtection="1">
      <alignment horizontal="left" vertical="center" wrapText="1"/>
    </xf>
    <xf numFmtId="0" fontId="1" fillId="0" borderId="0" xfId="0" applyFont="1" applyAlignment="1" applyProtection="1">
      <alignment horizontal="right" vertical="center" wrapText="1"/>
    </xf>
    <xf numFmtId="0" fontId="0" fillId="0" borderId="0" xfId="0" applyAlignment="1" applyProtection="1">
      <alignment horizontal="left" vertical="center" wrapText="1" indent="1"/>
    </xf>
    <xf numFmtId="0" fontId="4" fillId="0" borderId="1" xfId="0" applyFont="1" applyBorder="1" applyAlignment="1" applyProtection="1">
      <alignment horizontal="left" vertical="center" wrapText="1" indent="2"/>
    </xf>
    <xf numFmtId="0" fontId="4" fillId="3" borderId="2" xfId="0" applyFont="1" applyFill="1" applyBorder="1" applyAlignment="1" applyProtection="1">
      <alignment horizontal="left" vertical="center" wrapText="1" indent="1"/>
    </xf>
    <xf numFmtId="0" fontId="4" fillId="4" borderId="1" xfId="0" applyFont="1" applyFill="1" applyBorder="1" applyAlignment="1" applyProtection="1">
      <alignment horizontal="left" vertical="center" wrapText="1" indent="2"/>
    </xf>
    <xf numFmtId="0" fontId="4" fillId="4" borderId="1" xfId="0" applyFont="1" applyFill="1" applyBorder="1" applyAlignment="1" applyProtection="1">
      <alignment horizontal="left" vertical="center" wrapText="1" indent="1"/>
    </xf>
    <xf numFmtId="0" fontId="4" fillId="2" borderId="1" xfId="0" applyFont="1" applyFill="1" applyBorder="1" applyAlignment="1" applyProtection="1">
      <alignment horizontal="left" vertical="center" wrapText="1" indent="2"/>
    </xf>
    <xf numFmtId="0" fontId="4" fillId="2" borderId="1" xfId="0" applyFont="1" applyFill="1" applyBorder="1" applyAlignment="1" applyProtection="1">
      <alignment horizontal="left" vertical="center" wrapText="1" indent="1"/>
    </xf>
    <xf numFmtId="0" fontId="4" fillId="2" borderId="2" xfId="0" applyFont="1" applyFill="1" applyBorder="1" applyAlignment="1" applyProtection="1">
      <alignment horizontal="left" vertical="center" wrapText="1" indent="1"/>
    </xf>
    <xf numFmtId="0" fontId="4" fillId="4" borderId="2" xfId="0" applyFont="1" applyFill="1" applyBorder="1" applyAlignment="1" applyProtection="1">
      <alignment horizontal="left" vertical="center" wrapText="1" indent="1"/>
    </xf>
    <xf numFmtId="0" fontId="4" fillId="3" borderId="1" xfId="0" applyFont="1" applyFill="1" applyBorder="1" applyAlignment="1" applyProtection="1">
      <alignment horizontal="left" vertical="center" wrapText="1" indent="1"/>
    </xf>
    <xf numFmtId="0" fontId="4" fillId="0" borderId="0" xfId="0" applyFont="1" applyBorder="1" applyAlignment="1" applyProtection="1">
      <alignment horizontal="left" vertical="center" indent="1"/>
    </xf>
    <xf numFmtId="0" fontId="4" fillId="0" borderId="0" xfId="0" applyFont="1" applyBorder="1" applyAlignment="1" applyProtection="1">
      <alignment horizontal="left" vertical="center" wrapText="1" indent="1"/>
    </xf>
    <xf numFmtId="0" fontId="0" fillId="0" borderId="0" xfId="0" applyAlignment="1" applyProtection="1">
      <alignment vertical="center"/>
    </xf>
    <xf numFmtId="0" fontId="0" fillId="0" borderId="0" xfId="0" applyAlignment="1" applyProtection="1">
      <alignment horizontal="center" vertical="center"/>
    </xf>
    <xf numFmtId="165" fontId="1" fillId="0" borderId="0" xfId="0" applyNumberFormat="1" applyFont="1" applyAlignment="1" applyProtection="1">
      <alignment horizontal="center" vertical="center"/>
    </xf>
    <xf numFmtId="1" fontId="1" fillId="0" borderId="0" xfId="0" applyNumberFormat="1" applyFont="1" applyAlignment="1" applyProtection="1">
      <alignment horizontal="center" vertical="center"/>
    </xf>
    <xf numFmtId="0" fontId="0" fillId="7" borderId="0" xfId="0" applyFill="1" applyAlignment="1" applyProtection="1">
      <alignment horizontal="center" vertical="center"/>
    </xf>
    <xf numFmtId="0" fontId="0" fillId="0" borderId="0" xfId="0" applyFill="1" applyAlignment="1" applyProtection="1">
      <alignment horizontal="left" vertical="top"/>
    </xf>
    <xf numFmtId="0" fontId="0" fillId="0" borderId="0" xfId="0" applyAlignment="1" applyProtection="1">
      <alignment horizontal="left" vertical="center" indent="1"/>
    </xf>
    <xf numFmtId="0" fontId="17" fillId="2" borderId="0" xfId="1" applyFont="1" applyFill="1" applyAlignment="1" applyProtection="1">
      <alignment horizontal="center" vertical="center"/>
      <protection locked="0"/>
    </xf>
    <xf numFmtId="0" fontId="4" fillId="0" borderId="1" xfId="0" applyFont="1" applyFill="1" applyBorder="1" applyAlignment="1" applyProtection="1">
      <alignment horizontal="left" vertical="center" wrapText="1" indent="2"/>
    </xf>
    <xf numFmtId="0" fontId="4" fillId="0" borderId="2" xfId="0" applyFont="1" applyFill="1" applyBorder="1" applyAlignment="1" applyProtection="1">
      <alignment horizontal="left" vertical="center" wrapText="1" indent="1"/>
    </xf>
    <xf numFmtId="0" fontId="7" fillId="0" borderId="7" xfId="0" applyFont="1" applyFill="1" applyBorder="1" applyAlignment="1" applyProtection="1">
      <alignment horizontal="left" vertical="center" wrapText="1" indent="1"/>
      <protection locked="0"/>
    </xf>
    <xf numFmtId="1" fontId="7" fillId="0" borderId="1" xfId="0" applyNumberFormat="1" applyFont="1" applyBorder="1" applyAlignment="1" applyProtection="1">
      <alignment horizontal="center" vertical="center"/>
    </xf>
    <xf numFmtId="0" fontId="4" fillId="0" borderId="0" xfId="0" applyFont="1" applyFill="1" applyBorder="1" applyAlignment="1" applyProtection="1">
      <alignment horizontal="center" vertical="center" wrapText="1"/>
    </xf>
    <xf numFmtId="2" fontId="4" fillId="0" borderId="1" xfId="0" applyNumberFormat="1" applyFont="1" applyFill="1" applyBorder="1" applyAlignment="1" applyProtection="1">
      <alignment horizontal="center" vertical="center"/>
    </xf>
    <xf numFmtId="2" fontId="4" fillId="8" borderId="1" xfId="0" applyNumberFormat="1" applyFont="1" applyFill="1" applyBorder="1" applyAlignment="1" applyProtection="1">
      <alignment horizontal="center" vertical="center"/>
    </xf>
    <xf numFmtId="0" fontId="4" fillId="8" borderId="1" xfId="0" applyFont="1" applyFill="1" applyBorder="1" applyAlignment="1" applyProtection="1">
      <alignment horizontal="left" vertical="center" wrapText="1" indent="1"/>
    </xf>
    <xf numFmtId="0" fontId="4" fillId="0" borderId="0" xfId="0" applyFont="1" applyFill="1" applyBorder="1" applyAlignment="1" applyProtection="1">
      <alignment horizontal="left" vertical="center" wrapText="1" indent="1"/>
    </xf>
    <xf numFmtId="0" fontId="4" fillId="8" borderId="1" xfId="0" applyFont="1" applyFill="1" applyBorder="1" applyAlignment="1" applyProtection="1">
      <alignment horizontal="left" vertical="center" wrapText="1" indent="2"/>
    </xf>
    <xf numFmtId="49" fontId="4" fillId="0" borderId="1" xfId="0" applyNumberFormat="1" applyFont="1" applyBorder="1" applyAlignment="1" applyProtection="1">
      <alignment horizontal="left" vertical="center" wrapText="1" indent="1"/>
    </xf>
    <xf numFmtId="0" fontId="4" fillId="0" borderId="4" xfId="0" applyFont="1" applyBorder="1" applyAlignment="1" applyProtection="1">
      <alignment horizontal="left" vertical="center" wrapText="1" indent="1"/>
    </xf>
    <xf numFmtId="2" fontId="4" fillId="0" borderId="1" xfId="0" applyNumberFormat="1" applyFont="1" applyBorder="1" applyAlignment="1" applyProtection="1">
      <alignment horizontal="left" vertical="center" indent="2"/>
    </xf>
    <xf numFmtId="0" fontId="4" fillId="0" borderId="4" xfId="0" applyFont="1" applyBorder="1" applyAlignment="1" applyProtection="1">
      <alignment horizontal="left" vertical="center" wrapText="1" indent="2"/>
    </xf>
    <xf numFmtId="0" fontId="0" fillId="4" borderId="2" xfId="0" applyFill="1" applyBorder="1" applyAlignment="1" applyProtection="1">
      <alignment horizontal="left" vertical="center" indent="1"/>
    </xf>
    <xf numFmtId="0" fontId="4" fillId="3" borderId="6" xfId="0" applyFont="1" applyFill="1" applyBorder="1" applyAlignment="1" applyProtection="1">
      <alignment horizontal="left" vertical="center" wrapText="1" indent="1"/>
    </xf>
    <xf numFmtId="0" fontId="0" fillId="2" borderId="2" xfId="0" applyFill="1" applyBorder="1" applyAlignment="1" applyProtection="1">
      <alignment horizontal="left" vertical="center" indent="1"/>
    </xf>
    <xf numFmtId="2" fontId="4" fillId="0" borderId="1" xfId="0" applyNumberFormat="1" applyFont="1" applyBorder="1" applyAlignment="1" applyProtection="1">
      <alignment horizontal="left" vertical="center" indent="1"/>
    </xf>
    <xf numFmtId="0" fontId="8" fillId="0" borderId="0" xfId="0" applyFont="1" applyAlignment="1" applyProtection="1">
      <alignment vertical="center"/>
    </xf>
    <xf numFmtId="0" fontId="8" fillId="0" borderId="0" xfId="0" applyFont="1" applyAlignment="1" applyProtection="1">
      <alignment horizontal="left" vertical="center" indent="1"/>
    </xf>
    <xf numFmtId="0" fontId="7" fillId="0" borderId="2" xfId="0" applyFont="1" applyBorder="1" applyAlignment="1" applyProtection="1">
      <alignment horizontal="left" vertical="center" indent="1"/>
    </xf>
    <xf numFmtId="0" fontId="26" fillId="0" borderId="0" xfId="0" applyFont="1" applyAlignment="1" applyProtection="1">
      <alignment horizontal="right" vertical="center"/>
    </xf>
    <xf numFmtId="0" fontId="26" fillId="0" borderId="0" xfId="0" applyFont="1" applyAlignment="1" applyProtection="1">
      <alignment horizontal="right" vertical="center" indent="1"/>
    </xf>
    <xf numFmtId="0" fontId="27" fillId="0" borderId="0" xfId="0" applyFont="1" applyAlignment="1" applyProtection="1">
      <alignment horizontal="left" vertical="center" indent="1"/>
      <protection locked="0"/>
    </xf>
    <xf numFmtId="0" fontId="27" fillId="0" borderId="0" xfId="0" applyFont="1" applyAlignment="1" applyProtection="1">
      <alignment horizontal="left" vertical="center" indent="1"/>
    </xf>
    <xf numFmtId="164" fontId="27" fillId="0" borderId="0" xfId="0" applyNumberFormat="1" applyFont="1" applyAlignment="1" applyProtection="1">
      <alignment horizontal="left" indent="1"/>
    </xf>
    <xf numFmtId="164" fontId="27" fillId="0" borderId="0" xfId="0" applyNumberFormat="1" applyFont="1" applyAlignment="1" applyProtection="1">
      <alignment horizontal="left" vertical="center" indent="1"/>
    </xf>
    <xf numFmtId="0" fontId="28" fillId="0" borderId="0" xfId="0" applyFont="1" applyAlignment="1" applyProtection="1">
      <alignment horizontal="left" vertical="center" indent="1"/>
    </xf>
    <xf numFmtId="0" fontId="27" fillId="0" borderId="0" xfId="0" applyFont="1" applyAlignment="1" applyProtection="1">
      <alignment horizontal="left" indent="1"/>
    </xf>
    <xf numFmtId="0" fontId="28" fillId="0" borderId="0" xfId="0" applyFont="1" applyAlignment="1" applyProtection="1">
      <alignment horizontal="center"/>
    </xf>
    <xf numFmtId="0" fontId="1" fillId="2" borderId="0" xfId="0" applyFont="1" applyFill="1" applyAlignment="1" applyProtection="1">
      <alignment horizontal="right" vertical="center" wrapText="1"/>
    </xf>
    <xf numFmtId="0" fontId="1" fillId="8" borderId="0" xfId="0" applyFont="1" applyFill="1" applyAlignment="1" applyProtection="1">
      <alignment horizontal="right" vertical="center" wrapText="1"/>
    </xf>
    <xf numFmtId="0" fontId="20" fillId="0" borderId="1" xfId="0" applyFont="1" applyBorder="1" applyAlignment="1" applyProtection="1">
      <alignment horizontal="left" vertical="center" wrapText="1" indent="1"/>
    </xf>
    <xf numFmtId="0" fontId="4" fillId="0" borderId="4" xfId="0" applyFont="1" applyFill="1" applyBorder="1" applyAlignment="1" applyProtection="1">
      <alignment horizontal="left" vertical="center" wrapText="1" indent="1"/>
    </xf>
    <xf numFmtId="0" fontId="4" fillId="2" borderId="4" xfId="0" applyFont="1" applyFill="1" applyBorder="1" applyAlignment="1" applyProtection="1">
      <alignment horizontal="left" vertical="center" wrapText="1" indent="1"/>
    </xf>
    <xf numFmtId="0" fontId="4" fillId="2" borderId="4" xfId="0" applyFont="1" applyFill="1" applyBorder="1" applyAlignment="1" applyProtection="1">
      <alignment horizontal="left" vertical="center" wrapText="1" indent="2"/>
    </xf>
    <xf numFmtId="0" fontId="4" fillId="8" borderId="4" xfId="0" applyFont="1" applyFill="1" applyBorder="1" applyAlignment="1" applyProtection="1">
      <alignment horizontal="left" vertical="center" wrapText="1" indent="1"/>
    </xf>
    <xf numFmtId="0" fontId="4" fillId="8" borderId="4" xfId="0" applyFont="1" applyFill="1" applyBorder="1" applyAlignment="1" applyProtection="1">
      <alignment horizontal="left" vertical="center" wrapText="1" indent="2"/>
    </xf>
    <xf numFmtId="0" fontId="7" fillId="0" borderId="5" xfId="0" applyFont="1" applyBorder="1" applyAlignment="1" applyProtection="1">
      <alignment horizontal="left" vertical="center" indent="1"/>
    </xf>
    <xf numFmtId="2" fontId="0" fillId="0" borderId="1" xfId="0" applyNumberFormat="1" applyBorder="1" applyAlignment="1" applyProtection="1">
      <alignment horizontal="left" vertical="center" indent="2"/>
    </xf>
    <xf numFmtId="49" fontId="0" fillId="0" borderId="1" xfId="0" applyNumberFormat="1" applyBorder="1" applyAlignment="1" applyProtection="1">
      <alignment horizontal="left" vertical="center" wrapText="1" indent="1"/>
    </xf>
    <xf numFmtId="49" fontId="0" fillId="0" borderId="1" xfId="0" applyNumberFormat="1" applyBorder="1" applyAlignment="1" applyProtection="1">
      <alignment horizontal="left" vertical="center" wrapText="1" indent="2"/>
    </xf>
    <xf numFmtId="49" fontId="0" fillId="8" borderId="1" xfId="0" applyNumberFormat="1" applyFill="1" applyBorder="1" applyAlignment="1" applyProtection="1">
      <alignment horizontal="left" vertical="center" wrapText="1" indent="1"/>
    </xf>
    <xf numFmtId="49" fontId="0" fillId="8" borderId="1" xfId="0" applyNumberFormat="1" applyFill="1" applyBorder="1" applyAlignment="1" applyProtection="1">
      <alignment horizontal="left" vertical="center" wrapText="1" indent="2"/>
    </xf>
    <xf numFmtId="49" fontId="0" fillId="0" borderId="12" xfId="0" applyNumberFormat="1" applyBorder="1" applyAlignment="1" applyProtection="1">
      <alignment horizontal="left" vertical="center" indent="2"/>
    </xf>
    <xf numFmtId="49" fontId="0" fillId="0" borderId="2" xfId="0" applyNumberFormat="1" applyBorder="1" applyAlignment="1" applyProtection="1">
      <alignment horizontal="left" vertical="center" wrapText="1" indent="2"/>
    </xf>
    <xf numFmtId="0" fontId="20" fillId="0" borderId="1" xfId="0" applyFont="1" applyBorder="1" applyAlignment="1">
      <alignment horizontal="left" vertical="center" wrapText="1" indent="1"/>
    </xf>
    <xf numFmtId="0" fontId="4" fillId="0" borderId="6" xfId="0" applyFont="1" applyBorder="1" applyAlignment="1" applyProtection="1">
      <alignment horizontal="left" vertical="center" wrapText="1" indent="1"/>
    </xf>
    <xf numFmtId="0" fontId="20" fillId="0" borderId="15" xfId="0" applyFont="1" applyBorder="1" applyAlignment="1">
      <alignment horizontal="left" vertical="center" wrapText="1" indent="1"/>
    </xf>
    <xf numFmtId="0" fontId="20" fillId="0" borderId="14" xfId="0" applyFont="1" applyBorder="1" applyAlignment="1">
      <alignment horizontal="left" vertical="center" wrapText="1" indent="1"/>
    </xf>
    <xf numFmtId="2" fontId="4" fillId="0" borderId="2" xfId="0" applyNumberFormat="1" applyFont="1" applyBorder="1" applyAlignment="1" applyProtection="1">
      <alignment horizontal="left" vertical="center" indent="1"/>
    </xf>
    <xf numFmtId="0" fontId="7" fillId="0" borderId="3" xfId="0" applyFont="1" applyBorder="1" applyAlignment="1" applyProtection="1">
      <alignment horizontal="center" vertical="center"/>
    </xf>
    <xf numFmtId="0" fontId="7" fillId="0" borderId="1" xfId="0" applyFont="1" applyBorder="1" applyAlignment="1" applyProtection="1">
      <alignment horizontal="left" indent="1"/>
    </xf>
    <xf numFmtId="0" fontId="31" fillId="0" borderId="1" xfId="0" applyFont="1" applyBorder="1" applyAlignment="1" applyProtection="1">
      <alignment horizontal="center" vertical="center" wrapText="1"/>
    </xf>
    <xf numFmtId="0" fontId="7" fillId="0" borderId="1" xfId="0" applyFont="1" applyBorder="1" applyAlignment="1" applyProtection="1">
      <alignment horizontal="left" vertical="center" indent="1"/>
    </xf>
    <xf numFmtId="49" fontId="0" fillId="8" borderId="2" xfId="0" applyNumberFormat="1" applyFill="1" applyBorder="1" applyAlignment="1" applyProtection="1">
      <alignment horizontal="left" vertical="center" wrapText="1" indent="2"/>
    </xf>
    <xf numFmtId="0" fontId="7" fillId="0" borderId="1" xfId="0" applyFont="1" applyBorder="1" applyAlignment="1" applyProtection="1">
      <alignment horizontal="center" vertical="center"/>
    </xf>
    <xf numFmtId="0" fontId="7" fillId="0" borderId="3"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5" xfId="0" applyFont="1" applyBorder="1" applyAlignment="1" applyProtection="1">
      <alignment horizontal="left" vertical="center"/>
    </xf>
    <xf numFmtId="1" fontId="0" fillId="0" borderId="0" xfId="0" applyNumberFormat="1" applyFont="1" applyAlignment="1" applyProtection="1">
      <alignment horizontal="left" vertical="center" indent="1"/>
    </xf>
    <xf numFmtId="0" fontId="0" fillId="0" borderId="0" xfId="0" applyFont="1" applyAlignment="1" applyProtection="1">
      <alignment vertical="center"/>
    </xf>
    <xf numFmtId="0" fontId="34" fillId="0" borderId="1" xfId="0" applyFont="1" applyBorder="1" applyAlignment="1" applyProtection="1">
      <alignment horizontal="center" vertical="center" wrapText="1"/>
    </xf>
    <xf numFmtId="0" fontId="34" fillId="0" borderId="3" xfId="0" applyFont="1" applyBorder="1" applyAlignment="1" applyProtection="1">
      <alignment horizontal="center" vertical="center" wrapText="1"/>
    </xf>
    <xf numFmtId="0" fontId="7" fillId="0" borderId="10" xfId="0" applyFont="1" applyBorder="1" applyAlignment="1" applyProtection="1">
      <alignment horizontal="left" vertical="center" indent="1"/>
    </xf>
    <xf numFmtId="0" fontId="1" fillId="0" borderId="0" xfId="0" applyFont="1" applyAlignment="1" applyProtection="1">
      <alignment vertical="center"/>
    </xf>
    <xf numFmtId="15" fontId="1" fillId="0" borderId="0" xfId="0" applyNumberFormat="1" applyFont="1" applyAlignment="1" applyProtection="1">
      <alignment vertical="center"/>
    </xf>
    <xf numFmtId="0" fontId="8" fillId="0" borderId="0" xfId="0" applyFont="1" applyFill="1" applyAlignment="1" applyProtection="1">
      <alignment horizontal="center" vertical="center"/>
    </xf>
    <xf numFmtId="0" fontId="1" fillId="2" borderId="3" xfId="0" applyFont="1" applyFill="1" applyBorder="1" applyAlignment="1" applyProtection="1">
      <alignment horizontal="center" vertical="center"/>
    </xf>
    <xf numFmtId="0" fontId="1" fillId="8" borderId="1" xfId="0" applyFont="1" applyFill="1" applyBorder="1" applyAlignment="1" applyProtection="1">
      <alignment horizontal="center" vertical="center"/>
    </xf>
    <xf numFmtId="165" fontId="4" fillId="2" borderId="2" xfId="0" applyNumberFormat="1" applyFont="1" applyFill="1" applyBorder="1" applyAlignment="1" applyProtection="1">
      <alignment horizontal="center" vertical="center" wrapText="1"/>
    </xf>
    <xf numFmtId="165" fontId="4" fillId="8" borderId="2" xfId="0" applyNumberFormat="1" applyFont="1" applyFill="1" applyBorder="1" applyAlignment="1" applyProtection="1">
      <alignment horizontal="center" vertical="center" wrapText="1"/>
    </xf>
    <xf numFmtId="0" fontId="0" fillId="0" borderId="1" xfId="0" applyFont="1" applyBorder="1" applyAlignment="1" applyProtection="1">
      <alignment horizontal="center" vertical="center"/>
    </xf>
    <xf numFmtId="1" fontId="4" fillId="0" borderId="2" xfId="0" applyNumberFormat="1" applyFont="1" applyFill="1" applyBorder="1" applyAlignment="1" applyProtection="1">
      <alignment horizontal="center" vertical="center" wrapText="1"/>
    </xf>
    <xf numFmtId="165" fontId="4" fillId="0" borderId="1" xfId="0" applyNumberFormat="1" applyFont="1" applyFill="1" applyBorder="1" applyAlignment="1" applyProtection="1">
      <alignment horizontal="center" vertical="center" wrapText="1"/>
    </xf>
    <xf numFmtId="165" fontId="4" fillId="0" borderId="2" xfId="0" applyNumberFormat="1" applyFont="1" applyFill="1" applyBorder="1" applyAlignment="1" applyProtection="1">
      <alignment horizontal="center" vertical="center" wrapText="1"/>
    </xf>
    <xf numFmtId="0" fontId="19" fillId="2" borderId="0" xfId="1" applyFont="1" applyFill="1" applyAlignment="1" applyProtection="1">
      <alignment horizontal="center" vertical="center"/>
      <protection locked="0"/>
    </xf>
    <xf numFmtId="0" fontId="20" fillId="0" borderId="15" xfId="0" applyFont="1" applyBorder="1" applyAlignment="1" applyProtection="1">
      <alignment horizontal="left" vertical="center" wrapText="1" indent="1"/>
    </xf>
    <xf numFmtId="0" fontId="0" fillId="6" borderId="9" xfId="0" applyFill="1" applyBorder="1" applyAlignment="1" applyProtection="1">
      <alignment horizontal="center" vertical="center"/>
    </xf>
    <xf numFmtId="0" fontId="20" fillId="0" borderId="14" xfId="0" applyFont="1" applyBorder="1" applyAlignment="1" applyProtection="1">
      <alignment horizontal="left" vertical="center" wrapText="1" indent="1"/>
    </xf>
    <xf numFmtId="0" fontId="16" fillId="0" borderId="15" xfId="1" applyBorder="1" applyAlignment="1" applyProtection="1">
      <alignment horizontal="left" vertical="center" wrapText="1" indent="1"/>
    </xf>
    <xf numFmtId="0" fontId="7" fillId="0" borderId="16" xfId="0" applyFont="1" applyFill="1" applyBorder="1" applyAlignment="1" applyProtection="1">
      <alignment horizontal="left" vertical="center" wrapText="1" indent="1"/>
    </xf>
    <xf numFmtId="0" fontId="0" fillId="0" borderId="9" xfId="0" applyFill="1" applyBorder="1" applyAlignment="1" applyProtection="1">
      <alignment horizontal="center" vertical="center"/>
    </xf>
    <xf numFmtId="0" fontId="20" fillId="0" borderId="1" xfId="0" applyFont="1" applyBorder="1" applyAlignment="1" applyProtection="1">
      <alignment horizontal="left" vertical="center" wrapText="1" indent="2"/>
    </xf>
    <xf numFmtId="0" fontId="20" fillId="0" borderId="4" xfId="0" applyFont="1" applyBorder="1" applyAlignment="1" applyProtection="1">
      <alignment horizontal="left" vertical="center" wrapText="1" indent="1"/>
    </xf>
    <xf numFmtId="0" fontId="16" fillId="0" borderId="13" xfId="1" applyBorder="1" applyAlignment="1" applyProtection="1">
      <alignment horizontal="left" vertical="center" wrapText="1" indent="1"/>
    </xf>
    <xf numFmtId="0" fontId="0" fillId="6" borderId="8" xfId="0" applyFill="1" applyBorder="1" applyAlignment="1" applyProtection="1">
      <alignment horizontal="center" vertical="center"/>
    </xf>
    <xf numFmtId="49" fontId="7" fillId="0" borderId="1" xfId="0" applyNumberFormat="1" applyFont="1" applyFill="1" applyBorder="1" applyAlignment="1" applyProtection="1">
      <alignment horizontal="left" vertical="center" wrapText="1" indent="1"/>
    </xf>
    <xf numFmtId="0" fontId="7" fillId="0" borderId="17" xfId="0" applyFont="1" applyFill="1" applyBorder="1" applyAlignment="1" applyProtection="1">
      <alignment horizontal="left" vertical="center" wrapText="1" indent="1"/>
    </xf>
    <xf numFmtId="0" fontId="0" fillId="0" borderId="0" xfId="0" applyFill="1" applyProtection="1"/>
    <xf numFmtId="15" fontId="1" fillId="5" borderId="0" xfId="0" applyNumberFormat="1" applyFont="1" applyFill="1" applyProtection="1"/>
    <xf numFmtId="0" fontId="0" fillId="0" borderId="0" xfId="0" applyFill="1" applyAlignment="1" applyProtection="1">
      <alignment horizontal="left" vertical="center"/>
    </xf>
    <xf numFmtId="0" fontId="8" fillId="5" borderId="0" xfId="0" applyFont="1" applyFill="1" applyAlignment="1" applyProtection="1">
      <alignment vertical="top"/>
    </xf>
    <xf numFmtId="0" fontId="1" fillId="0" borderId="0" xfId="0" applyFont="1" applyFill="1" applyAlignment="1" applyProtection="1">
      <alignment horizontal="left" vertical="top"/>
    </xf>
    <xf numFmtId="0" fontId="8" fillId="0" borderId="0" xfId="0" applyFont="1" applyFill="1" applyAlignment="1" applyProtection="1">
      <alignment vertical="top"/>
    </xf>
    <xf numFmtId="0" fontId="8" fillId="0" borderId="0" xfId="0" applyFont="1" applyFill="1" applyAlignment="1" applyProtection="1">
      <alignment horizontal="center" vertical="top"/>
    </xf>
    <xf numFmtId="0" fontId="11" fillId="0" borderId="0" xfId="0" applyFont="1" applyAlignment="1" applyProtection="1">
      <alignment vertical="center"/>
    </xf>
    <xf numFmtId="0" fontId="0" fillId="0" borderId="0" xfId="0" applyAlignment="1" applyProtection="1">
      <alignment horizontal="left" vertical="center" indent="2"/>
    </xf>
    <xf numFmtId="0" fontId="12" fillId="0" borderId="0" xfId="0" applyFont="1" applyAlignment="1" applyProtection="1">
      <alignment horizontal="left" vertical="center" indent="4"/>
    </xf>
    <xf numFmtId="0" fontId="0" fillId="0" borderId="0" xfId="0" applyAlignment="1" applyProtection="1">
      <alignment horizontal="left" vertical="center" wrapText="1" indent="2"/>
    </xf>
    <xf numFmtId="0" fontId="0" fillId="5" borderId="0" xfId="0" applyFill="1" applyAlignment="1" applyProtection="1">
      <alignment horizontal="left" vertical="center"/>
    </xf>
    <xf numFmtId="0" fontId="16" fillId="0" borderId="0" xfId="1" applyFill="1" applyAlignment="1" applyProtection="1">
      <alignment horizontal="right" vertical="center"/>
    </xf>
    <xf numFmtId="0" fontId="35" fillId="0" borderId="0" xfId="0" applyFont="1" applyAlignment="1" applyProtection="1">
      <alignment horizontal="left" vertical="center"/>
    </xf>
    <xf numFmtId="0" fontId="14" fillId="0" borderId="0" xfId="0" applyFont="1" applyAlignment="1" applyProtection="1">
      <alignment horizontal="center" vertical="center"/>
    </xf>
    <xf numFmtId="0" fontId="25" fillId="0" borderId="0" xfId="0" applyFont="1" applyProtection="1"/>
    <xf numFmtId="0" fontId="25" fillId="0" borderId="0" xfId="0" applyFont="1" applyAlignment="1" applyProtection="1">
      <alignment horizontal="left" vertical="center" indent="1"/>
    </xf>
    <xf numFmtId="0" fontId="0" fillId="0" borderId="10" xfId="0" applyBorder="1" applyAlignment="1" applyProtection="1">
      <alignment horizontal="center" vertical="center"/>
    </xf>
    <xf numFmtId="15" fontId="0" fillId="0" borderId="0" xfId="0" applyNumberFormat="1" applyProtection="1"/>
    <xf numFmtId="0" fontId="16" fillId="0" borderId="0" xfId="1" applyProtection="1"/>
    <xf numFmtId="0" fontId="1" fillId="0" borderId="0" xfId="0" applyFont="1" applyFill="1" applyAlignment="1" applyProtection="1">
      <alignment vertical="top"/>
    </xf>
    <xf numFmtId="0" fontId="28" fillId="0" borderId="0" xfId="0" applyFont="1" applyProtection="1"/>
    <xf numFmtId="0" fontId="0" fillId="0" borderId="0" xfId="0" applyAlignment="1" applyProtection="1">
      <alignment horizontal="right" vertical="center"/>
    </xf>
    <xf numFmtId="0" fontId="0" fillId="0" borderId="0" xfId="0" applyAlignment="1" applyProtection="1">
      <alignment horizontal="left" indent="1"/>
    </xf>
    <xf numFmtId="0" fontId="18" fillId="2" borderId="0" xfId="1" applyFont="1" applyFill="1" applyAlignment="1" applyProtection="1">
      <alignment horizontal="center" vertical="center"/>
    </xf>
    <xf numFmtId="164" fontId="28" fillId="0" borderId="0" xfId="0" applyNumberFormat="1" applyFont="1" applyAlignment="1" applyProtection="1">
      <alignment horizontal="left" vertical="center" indent="1"/>
    </xf>
    <xf numFmtId="1" fontId="7" fillId="0" borderId="1" xfId="0" applyNumberFormat="1" applyFont="1" applyBorder="1" applyAlignment="1" applyProtection="1">
      <alignment horizontal="left" vertical="center" indent="1"/>
    </xf>
    <xf numFmtId="0" fontId="8" fillId="0" borderId="0" xfId="0" applyFont="1" applyAlignment="1" applyProtection="1">
      <alignment horizontal="left" vertical="center"/>
    </xf>
    <xf numFmtId="1" fontId="3" fillId="0" borderId="1" xfId="0" applyNumberFormat="1" applyFont="1" applyBorder="1" applyAlignment="1" applyProtection="1">
      <alignment horizontal="center" vertical="center"/>
    </xf>
    <xf numFmtId="2" fontId="3" fillId="0" borderId="1" xfId="0" applyNumberFormat="1" applyFont="1" applyBorder="1" applyAlignment="1" applyProtection="1">
      <alignment horizontal="center" vertical="center"/>
    </xf>
    <xf numFmtId="0" fontId="3" fillId="0" borderId="10" xfId="0" applyFont="1" applyBorder="1" applyAlignment="1" applyProtection="1">
      <alignment horizontal="center" vertical="center"/>
    </xf>
    <xf numFmtId="2" fontId="0" fillId="0" borderId="1" xfId="0" applyNumberFormat="1" applyFont="1" applyBorder="1" applyAlignment="1" applyProtection="1">
      <alignment horizontal="center" vertical="center"/>
    </xf>
    <xf numFmtId="0" fontId="3" fillId="2" borderId="2" xfId="0" applyFont="1" applyFill="1" applyBorder="1" applyAlignment="1" applyProtection="1">
      <alignment horizontal="left" vertical="center" indent="1"/>
    </xf>
    <xf numFmtId="2" fontId="3" fillId="2" borderId="2" xfId="0" applyNumberFormat="1" applyFont="1" applyFill="1" applyBorder="1" applyAlignment="1" applyProtection="1">
      <alignment horizontal="left" vertical="center" indent="1"/>
    </xf>
    <xf numFmtId="1" fontId="28" fillId="0" borderId="1" xfId="0" applyNumberFormat="1" applyFont="1" applyFill="1" applyBorder="1" applyAlignment="1" applyProtection="1">
      <alignment horizontal="center" vertical="center" wrapText="1"/>
    </xf>
    <xf numFmtId="2" fontId="1" fillId="0" borderId="2" xfId="0" applyNumberFormat="1" applyFont="1" applyFill="1" applyBorder="1" applyAlignment="1" applyProtection="1">
      <alignment horizontal="left" vertical="center" indent="1"/>
    </xf>
    <xf numFmtId="1" fontId="0" fillId="0" borderId="1" xfId="0" applyNumberFormat="1" applyFont="1" applyFill="1" applyBorder="1" applyAlignment="1" applyProtection="1">
      <alignment horizontal="center" vertical="center" wrapText="1"/>
    </xf>
    <xf numFmtId="2" fontId="0" fillId="2" borderId="2" xfId="0" applyNumberFormat="1" applyFont="1" applyFill="1" applyBorder="1" applyAlignment="1" applyProtection="1">
      <alignment horizontal="left" vertical="center" wrapText="1" indent="1"/>
    </xf>
    <xf numFmtId="165" fontId="28" fillId="0" borderId="1" xfId="0" applyNumberFormat="1" applyFont="1" applyFill="1" applyBorder="1" applyAlignment="1" applyProtection="1">
      <alignment horizontal="center" vertical="center" wrapText="1"/>
    </xf>
    <xf numFmtId="0" fontId="3" fillId="8" borderId="2" xfId="0" applyFont="1" applyFill="1" applyBorder="1" applyAlignment="1" applyProtection="1">
      <alignment horizontal="left" vertical="center" indent="1"/>
    </xf>
    <xf numFmtId="2" fontId="0" fillId="8" borderId="2" xfId="0" applyNumberFormat="1" applyFont="1" applyFill="1" applyBorder="1" applyAlignment="1" applyProtection="1">
      <alignment horizontal="left" vertical="center" wrapText="1" indent="1"/>
    </xf>
    <xf numFmtId="2" fontId="3" fillId="8" borderId="2" xfId="0" applyNumberFormat="1" applyFont="1" applyFill="1" applyBorder="1" applyAlignment="1" applyProtection="1">
      <alignment horizontal="left" vertical="center" indent="1"/>
    </xf>
    <xf numFmtId="0" fontId="4" fillId="8" borderId="2" xfId="0" applyFont="1" applyFill="1" applyBorder="1" applyAlignment="1" applyProtection="1">
      <alignment horizontal="left" vertical="center" wrapText="1" indent="1"/>
    </xf>
    <xf numFmtId="165" fontId="28" fillId="0" borderId="1" xfId="0" applyNumberFormat="1" applyFont="1" applyFill="1" applyBorder="1" applyAlignment="1" applyProtection="1">
      <alignment horizontal="center" vertical="center"/>
    </xf>
    <xf numFmtId="1" fontId="28" fillId="0" borderId="1" xfId="0" applyNumberFormat="1" applyFont="1" applyFill="1" applyBorder="1" applyAlignment="1" applyProtection="1">
      <alignment horizontal="center" vertical="center"/>
    </xf>
    <xf numFmtId="2" fontId="0" fillId="0" borderId="2" xfId="0" applyNumberFormat="1" applyFont="1" applyFill="1" applyBorder="1" applyAlignment="1" applyProtection="1">
      <alignment horizontal="left" vertical="center" indent="1"/>
    </xf>
    <xf numFmtId="2" fontId="0" fillId="0" borderId="3" xfId="0" applyNumberFormat="1" applyFont="1" applyFill="1" applyBorder="1" applyAlignment="1" applyProtection="1">
      <alignment horizontal="left" vertical="center" indent="1"/>
    </xf>
    <xf numFmtId="1" fontId="38" fillId="0" borderId="0" xfId="0" applyNumberFormat="1" applyFont="1" applyBorder="1" applyAlignment="1" applyProtection="1">
      <alignment horizontal="center" vertical="center"/>
    </xf>
    <xf numFmtId="0" fontId="36" fillId="0" borderId="0" xfId="0" applyFont="1" applyAlignment="1" applyProtection="1">
      <alignment horizontal="center" vertical="center"/>
    </xf>
    <xf numFmtId="0" fontId="16" fillId="0" borderId="0" xfId="1" applyAlignment="1" applyProtection="1">
      <alignment vertical="center"/>
    </xf>
    <xf numFmtId="15" fontId="0" fillId="0" borderId="0" xfId="0" applyNumberFormat="1" applyAlignment="1" applyProtection="1">
      <alignment vertical="center"/>
    </xf>
    <xf numFmtId="0" fontId="17" fillId="0" borderId="0" xfId="1" applyFont="1" applyFill="1" applyAlignment="1" applyProtection="1">
      <alignment horizontal="center" vertical="center"/>
    </xf>
    <xf numFmtId="0" fontId="8" fillId="0" borderId="0" xfId="0" applyFont="1" applyProtection="1"/>
    <xf numFmtId="0" fontId="0" fillId="0" borderId="0" xfId="0" applyProtection="1">
      <protection locked="0"/>
    </xf>
    <xf numFmtId="0" fontId="1" fillId="6" borderId="0" xfId="0" applyFont="1" applyFill="1" applyAlignment="1" applyProtection="1">
      <alignment horizontal="center" vertical="center"/>
    </xf>
    <xf numFmtId="0" fontId="0" fillId="0" borderId="0" xfId="0" applyFont="1" applyFill="1" applyProtection="1"/>
    <xf numFmtId="164" fontId="9" fillId="0" borderId="0" xfId="0" applyNumberFormat="1" applyFont="1" applyAlignment="1" applyProtection="1">
      <alignment horizontal="left" vertical="center" indent="1"/>
      <protection locked="0"/>
    </xf>
    <xf numFmtId="164" fontId="39" fillId="0" borderId="0" xfId="0" applyNumberFormat="1" applyFont="1" applyAlignment="1" applyProtection="1">
      <alignment horizontal="left" vertical="center" indent="1"/>
    </xf>
    <xf numFmtId="164" fontId="40" fillId="0" borderId="0" xfId="0" applyNumberFormat="1" applyFont="1" applyAlignment="1" applyProtection="1">
      <alignment horizontal="left" vertical="center" indent="1"/>
    </xf>
    <xf numFmtId="164" fontId="9" fillId="0" borderId="0" xfId="0" applyNumberFormat="1" applyFont="1" applyAlignment="1" applyProtection="1">
      <alignment horizontal="left" vertical="center" indent="1"/>
    </xf>
    <xf numFmtId="0" fontId="0" fillId="0" borderId="0" xfId="0" applyAlignment="1" applyProtection="1">
      <alignment vertical="center" wrapText="1"/>
      <protection locked="0"/>
    </xf>
    <xf numFmtId="0" fontId="1" fillId="6" borderId="0" xfId="0" applyFont="1" applyFill="1" applyAlignment="1" applyProtection="1">
      <alignment horizontal="right" vertical="center" indent="1"/>
    </xf>
    <xf numFmtId="0" fontId="0" fillId="0" borderId="0" xfId="0" applyAlignment="1" applyProtection="1">
      <alignment horizontal="left" vertical="center"/>
    </xf>
    <xf numFmtId="0" fontId="0" fillId="0" borderId="0" xfId="0" applyFont="1" applyAlignment="1" applyProtection="1">
      <alignment horizontal="left" vertical="center" indent="1"/>
    </xf>
    <xf numFmtId="0" fontId="8" fillId="5" borderId="0" xfId="0" applyFont="1" applyFill="1" applyAlignment="1" applyProtection="1">
      <alignment horizontal="left" vertical="top"/>
    </xf>
    <xf numFmtId="2" fontId="0" fillId="0" borderId="2" xfId="0" applyNumberFormat="1" applyFont="1" applyFill="1" applyBorder="1" applyAlignment="1" applyProtection="1">
      <alignment horizontal="left" vertical="center" indent="1"/>
    </xf>
    <xf numFmtId="0" fontId="1" fillId="7" borderId="0" xfId="0" applyFont="1" applyFill="1" applyAlignment="1" applyProtection="1">
      <alignment horizontal="left" vertical="center"/>
    </xf>
    <xf numFmtId="0" fontId="1" fillId="0" borderId="0" xfId="0" applyFont="1" applyFill="1" applyAlignment="1" applyProtection="1">
      <alignment vertical="center"/>
    </xf>
    <xf numFmtId="0" fontId="0" fillId="9" borderId="0" xfId="0" applyFill="1" applyAlignment="1" applyProtection="1">
      <alignment horizontal="center" vertical="center"/>
    </xf>
    <xf numFmtId="0" fontId="0" fillId="9" borderId="0" xfId="0" applyFill="1" applyProtection="1"/>
    <xf numFmtId="0" fontId="0" fillId="9" borderId="0" xfId="0" applyFill="1" applyAlignment="1" applyProtection="1">
      <alignment vertical="center" wrapText="1"/>
      <protection locked="0"/>
    </xf>
    <xf numFmtId="0" fontId="0" fillId="9" borderId="0" xfId="0" applyFill="1" applyProtection="1">
      <protection locked="0"/>
    </xf>
    <xf numFmtId="0" fontId="0" fillId="6" borderId="19"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0" fontId="45" fillId="6" borderId="0" xfId="0" applyFont="1" applyFill="1" applyBorder="1" applyAlignment="1" applyProtection="1">
      <alignment horizontal="center" vertical="center"/>
      <protection locked="0"/>
    </xf>
    <xf numFmtId="0" fontId="45" fillId="6" borderId="19" xfId="0" applyFont="1" applyFill="1" applyBorder="1" applyAlignment="1" applyProtection="1">
      <alignment horizontal="center" vertical="center"/>
      <protection locked="0"/>
    </xf>
    <xf numFmtId="0" fontId="1" fillId="10" borderId="0" xfId="0" applyFont="1" applyFill="1" applyAlignment="1" applyProtection="1">
      <alignment horizontal="left" vertical="center" indent="1"/>
    </xf>
    <xf numFmtId="0" fontId="1" fillId="10" borderId="0" xfId="0" applyFont="1" applyFill="1" applyAlignment="1" applyProtection="1">
      <alignment horizontal="left" vertical="center"/>
    </xf>
    <xf numFmtId="0" fontId="1" fillId="10" borderId="20" xfId="0" applyFont="1" applyFill="1" applyBorder="1" applyAlignment="1" applyProtection="1">
      <alignment horizontal="left" vertical="center" indent="1"/>
    </xf>
    <xf numFmtId="0" fontId="1" fillId="10" borderId="21" xfId="0" applyFont="1" applyFill="1" applyBorder="1" applyAlignment="1" applyProtection="1">
      <alignment horizontal="left" vertical="center" indent="1"/>
    </xf>
    <xf numFmtId="0" fontId="1" fillId="10" borderId="3" xfId="0" applyFont="1" applyFill="1" applyBorder="1" applyAlignment="1" applyProtection="1">
      <alignment horizontal="left" vertical="center" indent="1"/>
    </xf>
    <xf numFmtId="0" fontId="3" fillId="0" borderId="0" xfId="0" applyFont="1" applyBorder="1" applyAlignment="1" applyProtection="1">
      <alignment vertical="center"/>
    </xf>
    <xf numFmtId="0" fontId="1" fillId="0" borderId="0" xfId="0" applyFont="1" applyBorder="1" applyAlignment="1" applyProtection="1">
      <alignment vertical="center"/>
    </xf>
    <xf numFmtId="0" fontId="46" fillId="0" borderId="0" xfId="0" applyFont="1" applyAlignment="1" applyProtection="1">
      <alignment horizontal="left" vertical="center"/>
    </xf>
    <xf numFmtId="0" fontId="17" fillId="2" borderId="0" xfId="1" applyFont="1" applyFill="1" applyAlignment="1" applyProtection="1">
      <alignment horizontal="center" vertical="center"/>
    </xf>
    <xf numFmtId="2" fontId="41" fillId="0" borderId="0" xfId="1" applyNumberFormat="1" applyFont="1" applyAlignment="1" applyProtection="1">
      <alignment horizontal="left" vertical="center" indent="1"/>
    </xf>
    <xf numFmtId="2" fontId="42" fillId="9" borderId="0" xfId="1" applyNumberFormat="1" applyFont="1" applyFill="1" applyAlignment="1" applyProtection="1">
      <alignment horizontal="right" vertical="center" indent="1"/>
    </xf>
    <xf numFmtId="0" fontId="0" fillId="4" borderId="6" xfId="0" applyFont="1" applyFill="1" applyBorder="1" applyAlignment="1" applyProtection="1">
      <alignment horizontal="center" vertical="center"/>
    </xf>
    <xf numFmtId="0" fontId="0" fillId="4" borderId="18" xfId="0" applyFont="1" applyFill="1" applyBorder="1" applyAlignment="1" applyProtection="1">
      <alignment horizontal="center" vertical="center"/>
    </xf>
    <xf numFmtId="0" fontId="0" fillId="4" borderId="10" xfId="0" applyFont="1" applyFill="1" applyBorder="1" applyAlignment="1" applyProtection="1">
      <alignment horizontal="center" vertical="center"/>
    </xf>
    <xf numFmtId="2" fontId="41" fillId="9" borderId="0" xfId="1" applyNumberFormat="1" applyFont="1" applyFill="1" applyAlignment="1" applyProtection="1">
      <alignment horizontal="right" vertical="center" indent="1"/>
    </xf>
    <xf numFmtId="0" fontId="0" fillId="9" borderId="0" xfId="0" applyFill="1" applyAlignment="1" applyProtection="1">
      <alignment vertical="center" wrapText="1"/>
    </xf>
    <xf numFmtId="2" fontId="37" fillId="9" borderId="0" xfId="1" applyNumberFormat="1" applyFont="1" applyFill="1" applyAlignment="1" applyProtection="1">
      <alignment horizontal="right" vertical="center" indent="1"/>
    </xf>
    <xf numFmtId="0" fontId="0" fillId="9" borderId="0" xfId="0" applyFill="1" applyAlignment="1" applyProtection="1">
      <alignment horizontal="left" vertical="center" wrapText="1" indent="2"/>
    </xf>
    <xf numFmtId="0" fontId="0" fillId="0" borderId="0" xfId="0" applyFont="1" applyFill="1" applyBorder="1" applyAlignment="1" applyProtection="1">
      <alignment horizontal="center" vertical="center"/>
    </xf>
    <xf numFmtId="2" fontId="41" fillId="0" borderId="0" xfId="1" applyNumberFormat="1" applyFont="1" applyAlignment="1" applyProtection="1">
      <alignment horizontal="right" vertical="center" indent="1"/>
    </xf>
    <xf numFmtId="0" fontId="0" fillId="0" borderId="0" xfId="0" applyAlignment="1" applyProtection="1">
      <alignment vertical="center" wrapText="1"/>
    </xf>
    <xf numFmtId="0" fontId="1" fillId="10" borderId="6" xfId="0" applyFont="1" applyFill="1" applyBorder="1" applyAlignment="1" applyProtection="1">
      <alignment horizontal="left" vertical="center" indent="1"/>
    </xf>
    <xf numFmtId="0" fontId="1" fillId="10" borderId="18" xfId="0" applyFont="1" applyFill="1" applyBorder="1" applyAlignment="1" applyProtection="1">
      <alignment horizontal="left" vertical="center" indent="1"/>
    </xf>
    <xf numFmtId="0" fontId="1" fillId="10" borderId="10" xfId="0" applyFont="1" applyFill="1" applyBorder="1" applyAlignment="1" applyProtection="1">
      <alignment horizontal="left" vertical="center" indent="1"/>
    </xf>
    <xf numFmtId="0" fontId="0" fillId="0" borderId="0" xfId="0" applyAlignment="1" applyProtection="1">
      <alignment horizontal="left" indent="2"/>
    </xf>
    <xf numFmtId="0" fontId="0" fillId="6" borderId="19" xfId="0" applyFill="1" applyBorder="1" applyAlignment="1" applyProtection="1">
      <alignment horizontal="center" vertical="center"/>
      <protection locked="0"/>
    </xf>
    <xf numFmtId="1" fontId="0" fillId="0" borderId="1" xfId="0" applyNumberFormat="1" applyFont="1" applyFill="1" applyBorder="1" applyAlignment="1" applyProtection="1">
      <alignment horizontal="center" vertical="center" wrapText="1"/>
      <protection locked="0"/>
    </xf>
    <xf numFmtId="0" fontId="47" fillId="0" borderId="0" xfId="0" applyFont="1" applyProtection="1"/>
    <xf numFmtId="2" fontId="0" fillId="0" borderId="2" xfId="0" applyNumberFormat="1" applyFont="1" applyFill="1" applyBorder="1" applyAlignment="1" applyProtection="1">
      <alignment horizontal="left" vertical="center" indent="1"/>
    </xf>
    <xf numFmtId="2" fontId="0" fillId="0" borderId="3" xfId="0" applyNumberFormat="1" applyFont="1" applyFill="1" applyBorder="1" applyAlignment="1" applyProtection="1">
      <alignment horizontal="left" vertical="center" indent="1"/>
    </xf>
    <xf numFmtId="0" fontId="4" fillId="0" borderId="1" xfId="0" applyFont="1" applyBorder="1" applyAlignment="1" applyProtection="1">
      <alignment horizontal="left" vertical="center" wrapText="1" indent="1"/>
    </xf>
    <xf numFmtId="2" fontId="4" fillId="0" borderId="0" xfId="0" applyNumberFormat="1" applyFont="1" applyBorder="1" applyAlignment="1" applyProtection="1">
      <alignment horizontal="center" vertical="center"/>
    </xf>
    <xf numFmtId="0" fontId="7" fillId="3" borderId="0" xfId="0" applyFont="1" applyFill="1" applyBorder="1" applyAlignment="1" applyProtection="1">
      <alignment horizontal="left" vertical="center" wrapText="1" indent="1"/>
      <protection locked="0"/>
    </xf>
    <xf numFmtId="0" fontId="0" fillId="0" borderId="0" xfId="0"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indent="1"/>
    </xf>
    <xf numFmtId="0" fontId="4" fillId="0" borderId="14" xfId="0" applyFont="1" applyBorder="1" applyAlignment="1" applyProtection="1">
      <alignment horizontal="left" vertical="center" wrapText="1" indent="1"/>
    </xf>
    <xf numFmtId="0" fontId="20" fillId="2" borderId="1" xfId="0" applyFont="1" applyFill="1" applyBorder="1" applyAlignment="1" applyProtection="1">
      <alignment horizontal="left" vertical="center" wrapText="1" indent="1"/>
    </xf>
    <xf numFmtId="0" fontId="20" fillId="2" borderId="15" xfId="0" applyFont="1" applyFill="1" applyBorder="1" applyAlignment="1" applyProtection="1">
      <alignment horizontal="left" vertical="center" wrapText="1" indent="1"/>
    </xf>
    <xf numFmtId="49" fontId="0" fillId="9" borderId="0" xfId="0" applyNumberFormat="1" applyFill="1" applyAlignment="1" applyProtection="1">
      <alignment vertical="center" wrapText="1"/>
    </xf>
    <xf numFmtId="0" fontId="16" fillId="0" borderId="0" xfId="1" applyAlignment="1" applyProtection="1">
      <alignment horizontal="left" vertical="center" indent="1"/>
      <protection locked="0"/>
    </xf>
    <xf numFmtId="0" fontId="1" fillId="5" borderId="0" xfId="0" applyFont="1" applyFill="1" applyAlignment="1" applyProtection="1">
      <alignment horizontal="left" vertical="top"/>
    </xf>
    <xf numFmtId="0" fontId="1" fillId="5" borderId="0" xfId="0" applyFont="1" applyFill="1" applyAlignment="1" applyProtection="1">
      <alignment horizontal="left"/>
    </xf>
    <xf numFmtId="0" fontId="0" fillId="0" borderId="0" xfId="0" applyFont="1" applyAlignment="1" applyProtection="1">
      <alignment horizontal="left" vertical="center" indent="1"/>
    </xf>
    <xf numFmtId="0" fontId="8" fillId="5" borderId="0" xfId="0" applyFont="1" applyFill="1" applyAlignment="1" applyProtection="1">
      <alignment horizontal="left" vertical="top"/>
    </xf>
    <xf numFmtId="0" fontId="0" fillId="5" borderId="0" xfId="0" applyFill="1" applyAlignment="1" applyProtection="1">
      <alignment horizontal="left" vertical="top"/>
    </xf>
    <xf numFmtId="0" fontId="8" fillId="5" borderId="0" xfId="0" applyFont="1" applyFill="1" applyAlignment="1" applyProtection="1">
      <alignment horizontal="left"/>
    </xf>
    <xf numFmtId="0" fontId="0" fillId="5" borderId="0" xfId="0" applyFill="1" applyAlignment="1" applyProtection="1">
      <alignment horizontal="left"/>
    </xf>
    <xf numFmtId="0" fontId="1" fillId="0" borderId="21" xfId="0" applyFont="1" applyBorder="1" applyAlignment="1" applyProtection="1">
      <alignment horizontal="left" vertical="center"/>
    </xf>
    <xf numFmtId="0" fontId="1" fillId="0" borderId="0" xfId="0" applyFont="1" applyAlignment="1" applyProtection="1">
      <alignment horizontal="left" vertical="center"/>
    </xf>
    <xf numFmtId="0" fontId="43" fillId="9" borderId="0" xfId="0" applyFont="1" applyFill="1" applyAlignment="1" applyProtection="1">
      <alignment horizontal="left" vertical="center"/>
      <protection locked="0"/>
    </xf>
    <xf numFmtId="0" fontId="43" fillId="9" borderId="11" xfId="0" applyFont="1" applyFill="1" applyBorder="1" applyAlignment="1" applyProtection="1">
      <alignment horizontal="left" vertical="center"/>
      <protection locked="0"/>
    </xf>
    <xf numFmtId="0" fontId="0" fillId="9" borderId="0" xfId="0" applyFill="1" applyAlignment="1" applyProtection="1">
      <alignment horizontal="left" vertical="center" wrapText="1"/>
      <protection locked="0"/>
    </xf>
    <xf numFmtId="0" fontId="45" fillId="9" borderId="0" xfId="0" applyFont="1" applyFill="1" applyAlignment="1" applyProtection="1">
      <alignment horizontal="left" vertical="center" wrapText="1"/>
      <protection locked="0"/>
    </xf>
    <xf numFmtId="0" fontId="1" fillId="10" borderId="0" xfId="0" applyFont="1" applyFill="1" applyAlignment="1" applyProtection="1">
      <alignment horizontal="left" vertical="center"/>
    </xf>
    <xf numFmtId="0" fontId="0" fillId="9" borderId="0" xfId="0" applyFill="1" applyAlignment="1" applyProtection="1">
      <alignment horizontal="left" vertical="center"/>
    </xf>
    <xf numFmtId="0" fontId="1" fillId="10" borderId="2" xfId="0" applyFont="1" applyFill="1" applyBorder="1" applyAlignment="1" applyProtection="1">
      <alignment horizontal="center" vertical="center"/>
    </xf>
    <xf numFmtId="0" fontId="1" fillId="10" borderId="5" xfId="0" applyFont="1" applyFill="1" applyBorder="1" applyAlignment="1" applyProtection="1">
      <alignment horizontal="center" vertical="center"/>
    </xf>
    <xf numFmtId="0" fontId="1" fillId="10" borderId="3" xfId="0" applyFont="1" applyFill="1" applyBorder="1" applyAlignment="1" applyProtection="1">
      <alignment horizontal="center" vertical="center"/>
    </xf>
    <xf numFmtId="0" fontId="0" fillId="9" borderId="0" xfId="0" applyFill="1" applyAlignment="1" applyProtection="1">
      <alignment horizontal="left" vertical="center"/>
      <protection locked="0"/>
    </xf>
    <xf numFmtId="0" fontId="0" fillId="9" borderId="11" xfId="0" applyFill="1" applyBorder="1" applyAlignment="1" applyProtection="1">
      <alignment horizontal="left" vertical="center"/>
      <protection locked="0"/>
    </xf>
    <xf numFmtId="0" fontId="0" fillId="9" borderId="0" xfId="0" applyFill="1" applyAlignment="1" applyProtection="1">
      <alignment horizontal="center" vertical="center"/>
      <protection locked="0"/>
    </xf>
    <xf numFmtId="0" fontId="0" fillId="9" borderId="11" xfId="0"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43" fillId="9" borderId="0" xfId="0" applyFont="1" applyFill="1" applyAlignment="1" applyProtection="1">
      <alignment horizontal="left" vertical="center" wrapText="1"/>
      <protection locked="0"/>
    </xf>
    <xf numFmtId="0" fontId="43" fillId="9" borderId="11" xfId="0" applyFont="1" applyFill="1" applyBorder="1" applyAlignment="1" applyProtection="1">
      <alignment horizontal="left" vertical="center" wrapText="1"/>
      <protection locked="0"/>
    </xf>
    <xf numFmtId="0" fontId="0" fillId="0" borderId="19"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2" borderId="6" xfId="0" applyFill="1" applyBorder="1" applyAlignment="1" applyProtection="1">
      <alignment horizontal="left" vertical="center" wrapText="1" indent="1"/>
    </xf>
    <xf numFmtId="0" fontId="0" fillId="2" borderId="18" xfId="0" applyFill="1" applyBorder="1" applyAlignment="1" applyProtection="1">
      <alignment horizontal="left" vertical="center" wrapText="1" indent="1"/>
    </xf>
    <xf numFmtId="0" fontId="0" fillId="2" borderId="10" xfId="0" applyFill="1" applyBorder="1" applyAlignment="1" applyProtection="1">
      <alignment horizontal="left" vertical="center" wrapText="1" indent="1"/>
    </xf>
    <xf numFmtId="0" fontId="0" fillId="4" borderId="19" xfId="0" applyFill="1" applyBorder="1" applyAlignment="1" applyProtection="1">
      <alignment horizontal="left" vertical="center" wrapText="1" indent="1"/>
    </xf>
    <xf numFmtId="0" fontId="0" fillId="4" borderId="0" xfId="0" applyFill="1" applyBorder="1" applyAlignment="1" applyProtection="1">
      <alignment horizontal="left" vertical="center" wrapText="1" indent="1"/>
    </xf>
    <xf numFmtId="0" fontId="0" fillId="4" borderId="11" xfId="0" applyFill="1" applyBorder="1" applyAlignment="1" applyProtection="1">
      <alignment horizontal="left" vertical="center" wrapText="1" indent="1"/>
    </xf>
    <xf numFmtId="0" fontId="0" fillId="3" borderId="20" xfId="0" applyFont="1" applyFill="1" applyBorder="1" applyAlignment="1" applyProtection="1">
      <alignment horizontal="left" vertical="center" wrapText="1" indent="1"/>
    </xf>
    <xf numFmtId="0" fontId="4" fillId="3" borderId="21" xfId="0" applyFont="1" applyFill="1" applyBorder="1" applyAlignment="1" applyProtection="1">
      <alignment horizontal="left" vertical="center" wrapText="1" indent="1"/>
    </xf>
    <xf numFmtId="0" fontId="4" fillId="3" borderId="12" xfId="0" applyFont="1" applyFill="1" applyBorder="1" applyAlignment="1" applyProtection="1">
      <alignment horizontal="left" vertical="center" wrapText="1" indent="1"/>
    </xf>
    <xf numFmtId="0" fontId="1" fillId="0" borderId="2" xfId="0" applyFont="1" applyBorder="1" applyAlignment="1" applyProtection="1">
      <alignment horizontal="left" wrapText="1" indent="1"/>
    </xf>
    <xf numFmtId="0" fontId="1" fillId="0" borderId="5" xfId="0" applyFont="1" applyBorder="1" applyAlignment="1" applyProtection="1">
      <alignment horizontal="left" wrapText="1" indent="1"/>
    </xf>
    <xf numFmtId="0" fontId="1" fillId="0" borderId="3" xfId="0" applyFont="1" applyBorder="1" applyAlignment="1" applyProtection="1">
      <alignment horizontal="left" wrapText="1" indent="1"/>
    </xf>
    <xf numFmtId="0" fontId="0" fillId="2" borderId="19" xfId="0" applyFill="1" applyBorder="1" applyAlignment="1" applyProtection="1">
      <alignment horizontal="left" vertical="center" wrapText="1" indent="1"/>
    </xf>
    <xf numFmtId="0" fontId="0" fillId="2" borderId="0" xfId="0" applyFill="1" applyBorder="1" applyAlignment="1" applyProtection="1">
      <alignment horizontal="left" vertical="center" wrapText="1" indent="1"/>
    </xf>
    <xf numFmtId="0" fontId="0" fillId="2" borderId="11" xfId="0" applyFill="1" applyBorder="1" applyAlignment="1" applyProtection="1">
      <alignment horizontal="left" vertical="center" wrapText="1" indent="1"/>
    </xf>
    <xf numFmtId="0" fontId="0" fillId="0" borderId="6"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5" borderId="0" xfId="0" applyFill="1" applyAlignment="1" applyProtection="1">
      <alignment horizontal="center"/>
    </xf>
    <xf numFmtId="0" fontId="7" fillId="0" borderId="2" xfId="0" applyFont="1" applyBorder="1" applyAlignment="1" applyProtection="1">
      <alignment horizontal="left" vertical="center" indent="1"/>
    </xf>
    <xf numFmtId="0" fontId="7" fillId="0" borderId="3" xfId="0" applyFont="1" applyBorder="1" applyAlignment="1" applyProtection="1">
      <alignment horizontal="left" vertical="center" indent="1"/>
    </xf>
    <xf numFmtId="0" fontId="4" fillId="0" borderId="0" xfId="0" applyFont="1" applyFill="1" applyBorder="1" applyAlignment="1" applyProtection="1">
      <alignment horizontal="left" vertical="center" indent="1"/>
    </xf>
    <xf numFmtId="0" fontId="7" fillId="0" borderId="2" xfId="0" applyFont="1" applyFill="1" applyBorder="1" applyAlignment="1" applyProtection="1">
      <alignment horizontal="left" vertical="center" indent="1"/>
    </xf>
    <xf numFmtId="0" fontId="7" fillId="0" borderId="5" xfId="0" applyFont="1" applyFill="1" applyBorder="1" applyAlignment="1" applyProtection="1">
      <alignment horizontal="left" vertical="center" indent="1"/>
    </xf>
    <xf numFmtId="0" fontId="7" fillId="0" borderId="3" xfId="0" applyFont="1" applyFill="1" applyBorder="1" applyAlignment="1" applyProtection="1">
      <alignment horizontal="left" vertical="center" indent="1"/>
    </xf>
    <xf numFmtId="2" fontId="0" fillId="0" borderId="2" xfId="0" applyNumberFormat="1" applyFont="1" applyFill="1" applyBorder="1" applyAlignment="1" applyProtection="1">
      <alignment horizontal="left" vertical="center" indent="1"/>
    </xf>
    <xf numFmtId="2" fontId="0" fillId="0" borderId="3" xfId="0" applyNumberFormat="1" applyFont="1" applyFill="1" applyBorder="1" applyAlignment="1" applyProtection="1">
      <alignment horizontal="left" vertical="center" indent="1"/>
    </xf>
    <xf numFmtId="0" fontId="3" fillId="0" borderId="2"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8" fillId="5" borderId="0" xfId="0" applyFont="1" applyFill="1" applyAlignment="1" applyProtection="1">
      <alignment horizontal="left" vertical="center"/>
    </xf>
    <xf numFmtId="0" fontId="4" fillId="0" borderId="0" xfId="0" applyFont="1" applyFill="1" applyBorder="1" applyAlignment="1" applyProtection="1">
      <alignment horizontal="left" vertical="center"/>
    </xf>
    <xf numFmtId="0" fontId="3" fillId="0" borderId="2" xfId="0" applyFont="1" applyFill="1" applyBorder="1" applyAlignment="1" applyProtection="1">
      <alignment horizontal="left" vertical="center" indent="1"/>
    </xf>
    <xf numFmtId="0" fontId="3" fillId="0" borderId="3" xfId="0" applyFont="1" applyFill="1" applyBorder="1" applyAlignment="1" applyProtection="1">
      <alignment horizontal="left" vertical="center" indent="1"/>
    </xf>
    <xf numFmtId="0" fontId="1" fillId="7" borderId="0" xfId="0" applyFont="1" applyFill="1" applyAlignment="1" applyProtection="1">
      <alignment horizontal="left" vertical="center"/>
    </xf>
    <xf numFmtId="2" fontId="0" fillId="0" borderId="2" xfId="0" applyNumberFormat="1" applyFont="1" applyFill="1" applyBorder="1" applyAlignment="1" applyProtection="1">
      <alignment horizontal="left" vertical="center"/>
    </xf>
    <xf numFmtId="2" fontId="0" fillId="0" borderId="3" xfId="0" applyNumberFormat="1" applyFont="1" applyFill="1" applyBorder="1" applyAlignment="1" applyProtection="1">
      <alignment horizontal="left" vertical="center"/>
    </xf>
    <xf numFmtId="0" fontId="4" fillId="0" borderId="1" xfId="0" applyFont="1" applyBorder="1" applyAlignment="1" applyProtection="1">
      <alignment horizontal="left" vertical="center" wrapText="1" indent="1"/>
    </xf>
    <xf numFmtId="0" fontId="7" fillId="0" borderId="1" xfId="0" applyFont="1" applyBorder="1" applyAlignment="1" applyProtection="1">
      <alignment horizontal="left" vertical="center" indent="1"/>
    </xf>
    <xf numFmtId="0" fontId="0" fillId="0" borderId="0" xfId="0" applyAlignment="1" applyProtection="1">
      <alignment horizontal="left" vertical="center" indent="1"/>
    </xf>
  </cellXfs>
  <cellStyles count="2">
    <cellStyle name="Hyperlink" xfId="1" builtinId="8"/>
    <cellStyle name="Normal" xfId="0" builtinId="0"/>
  </cellStyles>
  <dxfs count="10">
    <dxf>
      <font>
        <color theme="0"/>
      </font>
      <fill>
        <patternFill>
          <bgColor theme="9" tint="0.79998168889431442"/>
        </patternFill>
      </fill>
    </dxf>
    <dxf>
      <font>
        <color theme="0"/>
      </font>
      <fill>
        <patternFill>
          <bgColor theme="9" tint="0.79998168889431442"/>
        </patternFill>
      </fill>
    </dxf>
    <dxf>
      <font>
        <color theme="0"/>
      </font>
      <fill>
        <patternFill>
          <bgColor theme="9" tint="0.79998168889431442"/>
        </patternFill>
      </fill>
    </dxf>
    <dxf>
      <font>
        <color theme="0"/>
      </font>
      <fill>
        <patternFill>
          <bgColor theme="9" tint="0.79998168889431442"/>
        </patternFill>
      </fill>
    </dxf>
    <dxf>
      <font>
        <color theme="0"/>
      </font>
      <fill>
        <patternFill>
          <bgColor theme="9" tint="0.79998168889431442"/>
        </patternFill>
      </fill>
    </dxf>
    <dxf>
      <font>
        <color theme="0"/>
      </font>
      <fill>
        <patternFill>
          <bgColor theme="9" tint="0.79998168889431442"/>
        </patternFill>
      </fill>
    </dxf>
    <dxf>
      <font>
        <color theme="0"/>
      </font>
      <fill>
        <patternFill>
          <bgColor theme="9" tint="0.79998168889431442"/>
        </patternFill>
      </fill>
    </dxf>
    <dxf>
      <font>
        <color theme="0"/>
      </font>
      <fill>
        <patternFill>
          <bgColor theme="9" tint="0.79998168889431442"/>
        </patternFill>
      </fill>
    </dxf>
    <dxf>
      <font>
        <color theme="0"/>
      </font>
      <fill>
        <patternFill>
          <bgColor theme="9" tint="0.79998168889431442"/>
        </patternFill>
      </fill>
    </dxf>
    <dxf>
      <font>
        <color theme="0"/>
      </font>
      <fill>
        <patternFill>
          <bgColor theme="9" tint="0.79998168889431442"/>
        </patternFill>
      </fill>
    </dxf>
  </dxfs>
  <tableStyles count="0" defaultTableStyle="TableStyleMedium2" defaultPivotStyle="PivotStyleLight16"/>
  <colors>
    <mruColors>
      <color rgb="FFC5E0B3"/>
      <color rgb="FFFFFF99"/>
      <color rgb="FFFFCC99"/>
      <color rgb="FFF8F8F8"/>
      <color rgb="FFFFD9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15</xdr:row>
      <xdr:rowOff>104775</xdr:rowOff>
    </xdr:from>
    <xdr:to>
      <xdr:col>20</xdr:col>
      <xdr:colOff>227110</xdr:colOff>
      <xdr:row>69</xdr:row>
      <xdr:rowOff>103490</xdr:rowOff>
    </xdr:to>
    <xdr:pic>
      <xdr:nvPicPr>
        <xdr:cNvPr id="11" name="Picture 10"/>
        <xdr:cNvPicPr>
          <a:picLocks noChangeAspect="1"/>
        </xdr:cNvPicPr>
      </xdr:nvPicPr>
      <xdr:blipFill>
        <a:blip xmlns:r="http://schemas.openxmlformats.org/officeDocument/2006/relationships" r:embed="rId1"/>
        <a:stretch>
          <a:fillRect/>
        </a:stretch>
      </xdr:blipFill>
      <xdr:spPr>
        <a:xfrm>
          <a:off x="609600" y="3914775"/>
          <a:ext cx="11923810" cy="10285715"/>
        </a:xfrm>
        <a:prstGeom prst="rect">
          <a:avLst/>
        </a:prstGeom>
      </xdr:spPr>
    </xdr:pic>
    <xdr:clientData/>
  </xdr:twoCellAnchor>
  <xdr:twoCellAnchor>
    <xdr:from>
      <xdr:col>11</xdr:col>
      <xdr:colOff>209551</xdr:colOff>
      <xdr:row>27</xdr:row>
      <xdr:rowOff>0</xdr:rowOff>
    </xdr:from>
    <xdr:to>
      <xdr:col>13</xdr:col>
      <xdr:colOff>581025</xdr:colOff>
      <xdr:row>33</xdr:row>
      <xdr:rowOff>104775</xdr:rowOff>
    </xdr:to>
    <xdr:cxnSp macro="">
      <xdr:nvCxnSpPr>
        <xdr:cNvPr id="6" name="Straight Arrow Connector 5"/>
        <xdr:cNvCxnSpPr/>
      </xdr:nvCxnSpPr>
      <xdr:spPr>
        <a:xfrm flipH="1">
          <a:off x="6915151" y="6096000"/>
          <a:ext cx="1590674" cy="1247775"/>
        </a:xfrm>
        <a:prstGeom prst="straightConnector1">
          <a:avLst/>
        </a:prstGeom>
        <a:ln w="28575">
          <a:solidFill>
            <a:schemeClr val="tx2">
              <a:lumMod val="60000"/>
              <a:lumOff val="40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361950</xdr:colOff>
      <xdr:row>25</xdr:row>
      <xdr:rowOff>85725</xdr:rowOff>
    </xdr:from>
    <xdr:to>
      <xdr:col>17</xdr:col>
      <xdr:colOff>276226</xdr:colOff>
      <xdr:row>33</xdr:row>
      <xdr:rowOff>76201</xdr:rowOff>
    </xdr:to>
    <xdr:cxnSp macro="">
      <xdr:nvCxnSpPr>
        <xdr:cNvPr id="7" name="Straight Arrow Connector 6"/>
        <xdr:cNvCxnSpPr/>
      </xdr:nvCxnSpPr>
      <xdr:spPr>
        <a:xfrm>
          <a:off x="8896350" y="5800725"/>
          <a:ext cx="1857376" cy="1514476"/>
        </a:xfrm>
        <a:prstGeom prst="straightConnector1">
          <a:avLst/>
        </a:prstGeom>
        <a:ln w="158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352425</xdr:colOff>
      <xdr:row>27</xdr:row>
      <xdr:rowOff>9525</xdr:rowOff>
    </xdr:from>
    <xdr:to>
      <xdr:col>17</xdr:col>
      <xdr:colOff>333375</xdr:colOff>
      <xdr:row>40</xdr:row>
      <xdr:rowOff>95250</xdr:rowOff>
    </xdr:to>
    <xdr:cxnSp macro="">
      <xdr:nvCxnSpPr>
        <xdr:cNvPr id="10" name="Straight Arrow Connector 9"/>
        <xdr:cNvCxnSpPr/>
      </xdr:nvCxnSpPr>
      <xdr:spPr>
        <a:xfrm>
          <a:off x="8886825" y="6105525"/>
          <a:ext cx="1924050" cy="2562225"/>
        </a:xfrm>
        <a:prstGeom prst="straightConnector1">
          <a:avLst/>
        </a:prstGeom>
        <a:ln w="158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542926</xdr:colOff>
      <xdr:row>6</xdr:row>
      <xdr:rowOff>66675</xdr:rowOff>
    </xdr:from>
    <xdr:to>
      <xdr:col>2</xdr:col>
      <xdr:colOff>323850</xdr:colOff>
      <xdr:row>6</xdr:row>
      <xdr:rowOff>238125</xdr:rowOff>
    </xdr:to>
    <xdr:cxnSp macro="">
      <xdr:nvCxnSpPr>
        <xdr:cNvPr id="9" name="Straight Arrow Connector 8"/>
        <xdr:cNvCxnSpPr/>
      </xdr:nvCxnSpPr>
      <xdr:spPr>
        <a:xfrm flipH="1">
          <a:off x="1152526" y="1552575"/>
          <a:ext cx="390524" cy="171450"/>
        </a:xfrm>
        <a:prstGeom prst="straightConnector1">
          <a:avLst/>
        </a:prstGeom>
        <a:ln w="158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85727</xdr:colOff>
      <xdr:row>6</xdr:row>
      <xdr:rowOff>190500</xdr:rowOff>
    </xdr:from>
    <xdr:to>
      <xdr:col>9</xdr:col>
      <xdr:colOff>457200</xdr:colOff>
      <xdr:row>8</xdr:row>
      <xdr:rowOff>142875</xdr:rowOff>
    </xdr:to>
    <xdr:cxnSp macro="">
      <xdr:nvCxnSpPr>
        <xdr:cNvPr id="13" name="Straight Arrow Connector 12"/>
        <xdr:cNvCxnSpPr/>
      </xdr:nvCxnSpPr>
      <xdr:spPr>
        <a:xfrm flipH="1">
          <a:off x="4352927" y="1676400"/>
          <a:ext cx="1590673" cy="561975"/>
        </a:xfrm>
        <a:prstGeom prst="straightConnector1">
          <a:avLst/>
        </a:prstGeom>
        <a:ln w="28575">
          <a:solidFill>
            <a:schemeClr val="tx2">
              <a:lumMod val="60000"/>
              <a:lumOff val="40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447675</xdr:colOff>
      <xdr:row>45</xdr:row>
      <xdr:rowOff>123825</xdr:rowOff>
    </xdr:from>
    <xdr:to>
      <xdr:col>8</xdr:col>
      <xdr:colOff>581025</xdr:colOff>
      <xdr:row>47</xdr:row>
      <xdr:rowOff>180975</xdr:rowOff>
    </xdr:to>
    <xdr:cxnSp macro="">
      <xdr:nvCxnSpPr>
        <xdr:cNvPr id="18" name="Straight Arrow Connector 17"/>
        <xdr:cNvCxnSpPr/>
      </xdr:nvCxnSpPr>
      <xdr:spPr>
        <a:xfrm flipH="1" flipV="1">
          <a:off x="2886075" y="9648825"/>
          <a:ext cx="2571750" cy="438150"/>
        </a:xfrm>
        <a:prstGeom prst="straightConnector1">
          <a:avLst/>
        </a:prstGeom>
        <a:ln w="28575">
          <a:solidFill>
            <a:schemeClr val="tx2">
              <a:lumMod val="60000"/>
              <a:lumOff val="40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urbanforestrysouth.org/resources/management-plans/city-of-tampa-urban-forest-management-plan/"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ufst.org/resources/library/urban-tree-risk-management/view"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hyperlink" Target="http://www.arborday.org/programs/treecityUSA/index.cfm" TargetMode="External"/><Relationship Id="rId1" Type="http://schemas.openxmlformats.org/officeDocument/2006/relationships/hyperlink" Target="http://neighborwoodsmonth.org/"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dhartel@fs.fed.us"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treeboardu.or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O36"/>
  <sheetViews>
    <sheetView tabSelected="1" workbookViewId="0">
      <selection sqref="A1:O2"/>
    </sheetView>
  </sheetViews>
  <sheetFormatPr defaultColWidth="9.109375" defaultRowHeight="14.4" x14ac:dyDescent="0.3"/>
  <cols>
    <col min="1" max="1" width="9.109375" style="7"/>
    <col min="2" max="2" width="5.88671875" style="7" customWidth="1"/>
    <col min="3" max="14" width="9.109375" style="7"/>
    <col min="15" max="15" width="11.6640625" style="7" customWidth="1"/>
    <col min="16" max="16384" width="9.109375" style="7"/>
  </cols>
  <sheetData>
    <row r="1" spans="1:15" ht="15" customHeight="1" x14ac:dyDescent="0.3">
      <c r="A1" s="253" t="str">
        <f>About!A1</f>
        <v>Urban Forest Sustainability and Management Review (v6.6a Austin)</v>
      </c>
      <c r="B1" s="253"/>
      <c r="C1" s="253"/>
      <c r="D1" s="253"/>
      <c r="E1" s="253"/>
      <c r="F1" s="253"/>
      <c r="G1" s="253"/>
      <c r="H1" s="253"/>
      <c r="I1" s="253"/>
      <c r="J1" s="253"/>
      <c r="K1" s="253"/>
      <c r="L1" s="253"/>
      <c r="M1" s="253"/>
      <c r="N1" s="253"/>
      <c r="O1" s="253"/>
    </row>
    <row r="2" spans="1:15" ht="15" customHeight="1" x14ac:dyDescent="0.3">
      <c r="A2" s="253"/>
      <c r="B2" s="253"/>
      <c r="C2" s="253"/>
      <c r="D2" s="253"/>
      <c r="E2" s="253"/>
      <c r="F2" s="253"/>
      <c r="G2" s="253"/>
      <c r="H2" s="253"/>
      <c r="I2" s="253"/>
      <c r="J2" s="253"/>
      <c r="K2" s="253"/>
      <c r="L2" s="253"/>
      <c r="M2" s="253"/>
      <c r="N2" s="253"/>
      <c r="O2" s="253"/>
    </row>
    <row r="3" spans="1:15" ht="15" customHeight="1" x14ac:dyDescent="0.3">
      <c r="A3" s="140"/>
      <c r="B3" s="140"/>
      <c r="C3" s="140"/>
      <c r="D3" s="140"/>
      <c r="E3" s="140"/>
      <c r="F3" s="140"/>
      <c r="G3" s="140"/>
      <c r="H3" s="140"/>
      <c r="I3" s="140"/>
      <c r="J3" s="140"/>
      <c r="K3" s="140"/>
      <c r="L3" s="140"/>
      <c r="M3" s="140"/>
      <c r="N3" s="140"/>
      <c r="O3" s="140"/>
    </row>
    <row r="4" spans="1:15" ht="24" customHeight="1" x14ac:dyDescent="0.3">
      <c r="A4" s="108" t="s">
        <v>447</v>
      </c>
      <c r="J4" s="112" t="str">
        <f>About!B6</f>
        <v>UFSM ReviewCalc</v>
      </c>
      <c r="O4" s="113">
        <f>About!O7</f>
        <v>42789</v>
      </c>
    </row>
    <row r="5" spans="1:15" ht="24" customHeight="1" x14ac:dyDescent="0.3"/>
    <row r="6" spans="1:15" ht="24" customHeight="1" x14ac:dyDescent="0.3">
      <c r="A6" s="108" t="s">
        <v>95</v>
      </c>
      <c r="B6" s="107">
        <f>B33</f>
        <v>24</v>
      </c>
      <c r="C6" s="108" t="s">
        <v>135</v>
      </c>
      <c r="D6" s="108"/>
      <c r="E6" s="108"/>
      <c r="F6" s="108"/>
      <c r="G6" s="108"/>
      <c r="H6" s="108"/>
      <c r="I6" s="108"/>
      <c r="J6" s="108"/>
      <c r="K6" s="108"/>
      <c r="L6" s="108"/>
      <c r="M6" s="108"/>
      <c r="N6" s="108"/>
    </row>
    <row r="7" spans="1:15" ht="12" customHeight="1" x14ac:dyDescent="0.3"/>
    <row r="8" spans="1:15" ht="17.25" customHeight="1" x14ac:dyDescent="0.3">
      <c r="C8" s="19" t="s">
        <v>96</v>
      </c>
    </row>
    <row r="9" spans="1:15" ht="10.5" customHeight="1" x14ac:dyDescent="0.3">
      <c r="C9" s="8"/>
    </row>
    <row r="10" spans="1:15" ht="20.100000000000001" customHeight="1" x14ac:dyDescent="0.3">
      <c r="B10" s="107">
        <v>1</v>
      </c>
      <c r="C10" s="199" t="s">
        <v>98</v>
      </c>
      <c r="D10" s="199"/>
      <c r="E10" s="199"/>
      <c r="F10" s="199"/>
      <c r="G10" s="255" t="s">
        <v>97</v>
      </c>
      <c r="H10" s="255"/>
      <c r="I10" s="255"/>
      <c r="J10" s="255"/>
      <c r="K10" s="255"/>
      <c r="L10" s="255"/>
      <c r="M10" s="255"/>
      <c r="N10" s="255"/>
      <c r="O10" s="255"/>
    </row>
    <row r="11" spans="1:15" ht="20.100000000000001" customHeight="1" x14ac:dyDescent="0.3">
      <c r="B11" s="107">
        <f>B10+1</f>
        <v>2</v>
      </c>
      <c r="C11" s="199" t="s">
        <v>448</v>
      </c>
      <c r="D11" s="199"/>
      <c r="E11" s="199"/>
      <c r="F11" s="199"/>
      <c r="G11" s="252" t="s">
        <v>449</v>
      </c>
      <c r="H11" s="252"/>
      <c r="I11" s="252"/>
      <c r="J11" s="252"/>
      <c r="K11" s="252"/>
      <c r="L11" s="252"/>
      <c r="M11" s="252"/>
      <c r="N11" s="252"/>
      <c r="O11" s="252"/>
    </row>
    <row r="12" spans="1:15" ht="20.100000000000001" customHeight="1" x14ac:dyDescent="0.3">
      <c r="B12" s="107">
        <f t="shared" ref="B12:B33" si="0">B11+1</f>
        <v>3</v>
      </c>
      <c r="C12" s="199" t="s">
        <v>450</v>
      </c>
      <c r="D12" s="199"/>
      <c r="E12" s="199"/>
      <c r="F12" s="199"/>
      <c r="G12" s="252" t="s">
        <v>451</v>
      </c>
      <c r="H12" s="252"/>
      <c r="I12" s="252"/>
      <c r="J12" s="252"/>
      <c r="K12" s="252"/>
      <c r="L12" s="252"/>
      <c r="M12" s="252"/>
      <c r="N12" s="252"/>
      <c r="O12" s="252"/>
    </row>
    <row r="13" spans="1:15" ht="20.100000000000001" customHeight="1" x14ac:dyDescent="0.3">
      <c r="B13" s="107">
        <f t="shared" si="0"/>
        <v>4</v>
      </c>
      <c r="C13" s="199" t="s">
        <v>429</v>
      </c>
      <c r="D13" s="199"/>
      <c r="E13" s="199"/>
      <c r="F13" s="199"/>
      <c r="G13" s="252" t="s">
        <v>399</v>
      </c>
      <c r="H13" s="252"/>
      <c r="I13" s="252"/>
      <c r="J13" s="252"/>
      <c r="K13" s="252"/>
      <c r="L13" s="252"/>
      <c r="M13" s="252"/>
      <c r="N13" s="252"/>
      <c r="O13" s="252"/>
    </row>
    <row r="14" spans="1:15" ht="20.100000000000001" customHeight="1" x14ac:dyDescent="0.3">
      <c r="B14" s="107">
        <f t="shared" si="0"/>
        <v>5</v>
      </c>
      <c r="C14" s="199" t="s">
        <v>81</v>
      </c>
      <c r="D14" s="199"/>
      <c r="E14" s="199"/>
      <c r="F14" s="199"/>
      <c r="G14" s="252" t="s">
        <v>452</v>
      </c>
      <c r="H14" s="252"/>
      <c r="I14" s="252"/>
      <c r="J14" s="252"/>
      <c r="K14" s="252"/>
      <c r="L14" s="252"/>
      <c r="M14" s="252"/>
      <c r="N14" s="252"/>
      <c r="O14" s="252"/>
    </row>
    <row r="15" spans="1:15" ht="20.100000000000001" customHeight="1" x14ac:dyDescent="0.3">
      <c r="B15" s="107">
        <f t="shared" si="0"/>
        <v>6</v>
      </c>
      <c r="C15" s="199" t="s">
        <v>82</v>
      </c>
      <c r="D15" s="199"/>
      <c r="E15" s="199"/>
      <c r="F15" s="199"/>
      <c r="G15" s="252" t="s">
        <v>446</v>
      </c>
      <c r="H15" s="252"/>
      <c r="I15" s="252"/>
      <c r="J15" s="252"/>
      <c r="K15" s="252"/>
      <c r="L15" s="252"/>
      <c r="M15" s="252"/>
      <c r="N15" s="252"/>
      <c r="O15" s="252"/>
    </row>
    <row r="16" spans="1:15" ht="20.100000000000001" customHeight="1" x14ac:dyDescent="0.3">
      <c r="B16" s="107">
        <f t="shared" si="0"/>
        <v>7</v>
      </c>
      <c r="C16" s="199" t="s">
        <v>83</v>
      </c>
      <c r="D16" s="199"/>
      <c r="E16" s="199"/>
      <c r="F16" s="199"/>
      <c r="G16" s="252" t="s">
        <v>453</v>
      </c>
      <c r="H16" s="252"/>
      <c r="I16" s="252"/>
      <c r="J16" s="252"/>
      <c r="K16" s="252"/>
      <c r="L16" s="252"/>
      <c r="M16" s="252"/>
      <c r="N16" s="252"/>
      <c r="O16" s="252"/>
    </row>
    <row r="17" spans="2:15" ht="20.100000000000001" customHeight="1" x14ac:dyDescent="0.3">
      <c r="B17" s="107">
        <f t="shared" si="0"/>
        <v>8</v>
      </c>
      <c r="C17" s="199" t="s">
        <v>84</v>
      </c>
      <c r="D17" s="199"/>
      <c r="E17" s="199"/>
      <c r="F17" s="199"/>
      <c r="G17" s="252" t="s">
        <v>454</v>
      </c>
      <c r="H17" s="252"/>
      <c r="I17" s="252"/>
      <c r="J17" s="252"/>
      <c r="K17" s="252"/>
      <c r="L17" s="252"/>
      <c r="M17" s="252"/>
      <c r="N17" s="252"/>
      <c r="O17" s="252"/>
    </row>
    <row r="18" spans="2:15" ht="20.100000000000001" customHeight="1" x14ac:dyDescent="0.3">
      <c r="B18" s="107">
        <f t="shared" si="0"/>
        <v>9</v>
      </c>
      <c r="C18" s="199" t="s">
        <v>85</v>
      </c>
      <c r="D18" s="199"/>
      <c r="E18" s="199"/>
      <c r="F18" s="199"/>
      <c r="G18" s="252" t="s">
        <v>455</v>
      </c>
      <c r="H18" s="252"/>
      <c r="I18" s="252"/>
      <c r="J18" s="252"/>
      <c r="K18" s="252"/>
      <c r="L18" s="252"/>
      <c r="M18" s="252"/>
      <c r="N18" s="252"/>
      <c r="O18" s="252"/>
    </row>
    <row r="19" spans="2:15" ht="20.100000000000001" customHeight="1" x14ac:dyDescent="0.3">
      <c r="B19" s="107">
        <f t="shared" si="0"/>
        <v>10</v>
      </c>
      <c r="C19" s="199" t="s">
        <v>86</v>
      </c>
      <c r="D19" s="199"/>
      <c r="E19" s="199"/>
      <c r="F19" s="199"/>
      <c r="G19" s="252" t="s">
        <v>456</v>
      </c>
      <c r="H19" s="252"/>
      <c r="I19" s="252"/>
      <c r="J19" s="252"/>
      <c r="K19" s="252"/>
      <c r="L19" s="252"/>
      <c r="M19" s="252"/>
      <c r="N19" s="252"/>
      <c r="O19" s="252"/>
    </row>
    <row r="20" spans="2:15" ht="20.100000000000001" customHeight="1" x14ac:dyDescent="0.3">
      <c r="B20" s="107">
        <f t="shared" si="0"/>
        <v>11</v>
      </c>
      <c r="C20" s="199" t="s">
        <v>9</v>
      </c>
      <c r="D20" s="199"/>
      <c r="E20" s="199"/>
      <c r="F20" s="199"/>
      <c r="G20" s="252" t="s">
        <v>457</v>
      </c>
      <c r="H20" s="252"/>
      <c r="I20" s="252"/>
      <c r="J20" s="252"/>
      <c r="K20" s="252"/>
      <c r="L20" s="252"/>
      <c r="M20" s="252"/>
      <c r="N20" s="252"/>
      <c r="O20" s="252"/>
    </row>
    <row r="21" spans="2:15" ht="20.100000000000001" customHeight="1" x14ac:dyDescent="0.3">
      <c r="B21" s="107">
        <f t="shared" si="0"/>
        <v>12</v>
      </c>
      <c r="C21" s="199" t="s">
        <v>87</v>
      </c>
      <c r="D21" s="199"/>
      <c r="E21" s="199"/>
      <c r="F21" s="199"/>
      <c r="G21" s="252" t="s">
        <v>458</v>
      </c>
      <c r="H21" s="252"/>
      <c r="I21" s="252"/>
      <c r="J21" s="252"/>
      <c r="K21" s="252"/>
      <c r="L21" s="252"/>
      <c r="M21" s="252"/>
      <c r="N21" s="252"/>
      <c r="O21" s="252"/>
    </row>
    <row r="22" spans="2:15" ht="20.100000000000001" customHeight="1" x14ac:dyDescent="0.3">
      <c r="B22" s="107">
        <f t="shared" si="0"/>
        <v>13</v>
      </c>
      <c r="C22" s="199" t="s">
        <v>88</v>
      </c>
      <c r="D22" s="199"/>
      <c r="E22" s="199"/>
      <c r="F22" s="199"/>
      <c r="G22" s="252" t="s">
        <v>459</v>
      </c>
      <c r="H22" s="252"/>
      <c r="I22" s="252"/>
      <c r="J22" s="252"/>
      <c r="K22" s="252"/>
      <c r="L22" s="252"/>
      <c r="M22" s="252"/>
      <c r="N22" s="252"/>
      <c r="O22" s="252"/>
    </row>
    <row r="23" spans="2:15" ht="20.100000000000001" customHeight="1" x14ac:dyDescent="0.3">
      <c r="B23" s="107">
        <f t="shared" si="0"/>
        <v>14</v>
      </c>
      <c r="C23" s="199" t="s">
        <v>89</v>
      </c>
      <c r="D23" s="199"/>
      <c r="E23" s="199"/>
      <c r="F23" s="199"/>
      <c r="G23" s="252" t="s">
        <v>460</v>
      </c>
      <c r="H23" s="252"/>
      <c r="I23" s="252"/>
      <c r="J23" s="252"/>
      <c r="K23" s="252"/>
      <c r="L23" s="252"/>
      <c r="M23" s="252"/>
      <c r="N23" s="252"/>
      <c r="O23" s="252"/>
    </row>
    <row r="24" spans="2:15" ht="20.100000000000001" customHeight="1" x14ac:dyDescent="0.3">
      <c r="B24" s="107">
        <f t="shared" si="0"/>
        <v>15</v>
      </c>
      <c r="C24" s="199" t="s">
        <v>90</v>
      </c>
      <c r="D24" s="199"/>
      <c r="E24" s="199"/>
      <c r="F24" s="199"/>
      <c r="G24" s="252" t="s">
        <v>133</v>
      </c>
      <c r="H24" s="252"/>
      <c r="I24" s="252"/>
      <c r="J24" s="252"/>
      <c r="K24" s="252"/>
      <c r="L24" s="252"/>
      <c r="M24" s="252"/>
      <c r="N24" s="252"/>
      <c r="O24" s="252"/>
    </row>
    <row r="25" spans="2:15" ht="20.100000000000001" customHeight="1" x14ac:dyDescent="0.3">
      <c r="B25" s="107">
        <f t="shared" si="0"/>
        <v>16</v>
      </c>
      <c r="C25" s="199" t="s">
        <v>91</v>
      </c>
      <c r="D25" s="199"/>
      <c r="E25" s="199"/>
      <c r="F25" s="199"/>
      <c r="G25" s="252" t="s">
        <v>132</v>
      </c>
      <c r="H25" s="252"/>
      <c r="I25" s="252"/>
      <c r="J25" s="252"/>
      <c r="K25" s="252"/>
      <c r="L25" s="252"/>
      <c r="M25" s="252"/>
      <c r="N25" s="252"/>
      <c r="O25" s="252"/>
    </row>
    <row r="26" spans="2:15" ht="20.100000000000001" customHeight="1" x14ac:dyDescent="0.3">
      <c r="B26" s="107">
        <f t="shared" si="0"/>
        <v>17</v>
      </c>
      <c r="C26" s="199" t="s">
        <v>94</v>
      </c>
      <c r="D26" s="199"/>
      <c r="E26" s="199"/>
      <c r="F26" s="199"/>
      <c r="G26" s="252" t="s">
        <v>461</v>
      </c>
      <c r="H26" s="252"/>
      <c r="I26" s="252"/>
      <c r="J26" s="252"/>
      <c r="K26" s="252"/>
      <c r="L26" s="252"/>
      <c r="M26" s="252"/>
      <c r="N26" s="252"/>
      <c r="O26" s="252"/>
    </row>
    <row r="27" spans="2:15" ht="20.100000000000001" customHeight="1" x14ac:dyDescent="0.3">
      <c r="B27" s="107">
        <f t="shared" si="0"/>
        <v>18</v>
      </c>
      <c r="C27" s="199" t="s">
        <v>92</v>
      </c>
      <c r="D27" s="199"/>
      <c r="E27" s="199"/>
      <c r="F27" s="199"/>
      <c r="G27" s="252" t="s">
        <v>462</v>
      </c>
      <c r="H27" s="252"/>
      <c r="I27" s="252"/>
      <c r="J27" s="252"/>
      <c r="K27" s="252"/>
      <c r="L27" s="252"/>
      <c r="M27" s="252"/>
      <c r="N27" s="252"/>
      <c r="O27" s="252"/>
    </row>
    <row r="28" spans="2:15" ht="20.100000000000001" customHeight="1" x14ac:dyDescent="0.3">
      <c r="B28" s="107">
        <f t="shared" si="0"/>
        <v>19</v>
      </c>
      <c r="C28" s="199" t="s">
        <v>130</v>
      </c>
      <c r="D28" s="199"/>
      <c r="E28" s="199"/>
      <c r="F28" s="199"/>
      <c r="G28" s="252" t="s">
        <v>136</v>
      </c>
      <c r="H28" s="252"/>
      <c r="I28" s="252"/>
      <c r="J28" s="252"/>
      <c r="K28" s="252"/>
      <c r="L28" s="252"/>
      <c r="M28" s="252"/>
      <c r="N28" s="252"/>
      <c r="O28" s="252"/>
    </row>
    <row r="29" spans="2:15" ht="20.100000000000001" customHeight="1" x14ac:dyDescent="0.3">
      <c r="B29" s="107">
        <f t="shared" si="0"/>
        <v>20</v>
      </c>
      <c r="C29" s="199" t="s">
        <v>463</v>
      </c>
      <c r="D29" s="199"/>
      <c r="E29" s="199"/>
      <c r="F29" s="199"/>
      <c r="G29" s="252" t="s">
        <v>464</v>
      </c>
      <c r="H29" s="252"/>
      <c r="I29" s="252"/>
      <c r="J29" s="252"/>
      <c r="K29" s="252"/>
      <c r="L29" s="252"/>
      <c r="M29" s="252"/>
      <c r="N29" s="252"/>
      <c r="O29" s="252"/>
    </row>
    <row r="30" spans="2:15" ht="20.100000000000001" customHeight="1" x14ac:dyDescent="0.3">
      <c r="B30" s="107">
        <f t="shared" si="0"/>
        <v>21</v>
      </c>
      <c r="C30" s="199" t="s">
        <v>76</v>
      </c>
      <c r="D30" s="199"/>
      <c r="E30" s="199"/>
      <c r="F30" s="199"/>
      <c r="G30" s="252" t="s">
        <v>111</v>
      </c>
      <c r="H30" s="252"/>
      <c r="I30" s="252"/>
      <c r="J30" s="252"/>
      <c r="K30" s="252"/>
      <c r="L30" s="252"/>
      <c r="M30" s="252"/>
      <c r="N30" s="252"/>
      <c r="O30" s="252"/>
    </row>
    <row r="31" spans="2:15" ht="20.100000000000001" customHeight="1" x14ac:dyDescent="0.3">
      <c r="B31" s="107">
        <f t="shared" si="0"/>
        <v>22</v>
      </c>
      <c r="C31" s="199" t="s">
        <v>112</v>
      </c>
      <c r="D31" s="199"/>
      <c r="E31" s="199"/>
      <c r="F31" s="199"/>
      <c r="G31" s="252" t="s">
        <v>113</v>
      </c>
      <c r="H31" s="252"/>
      <c r="I31" s="252"/>
      <c r="J31" s="252"/>
      <c r="K31" s="252"/>
      <c r="L31" s="252"/>
      <c r="M31" s="252"/>
      <c r="N31" s="252"/>
      <c r="O31" s="252"/>
    </row>
    <row r="32" spans="2:15" ht="20.100000000000001" customHeight="1" x14ac:dyDescent="0.3">
      <c r="B32" s="107">
        <f t="shared" si="0"/>
        <v>23</v>
      </c>
      <c r="C32" s="199" t="s">
        <v>411</v>
      </c>
      <c r="D32" s="199"/>
      <c r="E32" s="199"/>
      <c r="F32" s="199"/>
      <c r="G32" s="252" t="s">
        <v>465</v>
      </c>
      <c r="H32" s="252"/>
      <c r="I32" s="252"/>
      <c r="J32" s="252"/>
      <c r="K32" s="252"/>
      <c r="L32" s="252"/>
      <c r="M32" s="252"/>
      <c r="N32" s="252"/>
      <c r="O32" s="252"/>
    </row>
    <row r="33" spans="1:15" ht="20.100000000000001" customHeight="1" x14ac:dyDescent="0.3">
      <c r="B33" s="107">
        <f t="shared" si="0"/>
        <v>24</v>
      </c>
      <c r="C33" s="199" t="s">
        <v>93</v>
      </c>
      <c r="D33" s="199"/>
      <c r="E33" s="199"/>
      <c r="F33" s="199"/>
      <c r="G33" s="252" t="s">
        <v>138</v>
      </c>
      <c r="H33" s="252"/>
      <c r="I33" s="252"/>
      <c r="J33" s="252"/>
      <c r="K33" s="252"/>
      <c r="L33" s="252"/>
      <c r="M33" s="252"/>
      <c r="N33" s="252"/>
      <c r="O33" s="252"/>
    </row>
    <row r="34" spans="1:15" x14ac:dyDescent="0.3">
      <c r="B34" s="107"/>
    </row>
    <row r="35" spans="1:15" ht="15" customHeight="1" x14ac:dyDescent="0.3">
      <c r="A35" s="254" t="str">
        <f>About!A1</f>
        <v>Urban Forest Sustainability and Management Review (v6.6a Austin)</v>
      </c>
      <c r="B35" s="254"/>
      <c r="C35" s="254"/>
      <c r="D35" s="254"/>
      <c r="E35" s="254"/>
      <c r="F35" s="254"/>
      <c r="G35" s="254"/>
      <c r="H35" s="254"/>
      <c r="I35" s="254"/>
      <c r="J35" s="254"/>
      <c r="K35" s="254"/>
      <c r="L35" s="254"/>
      <c r="M35" s="254"/>
      <c r="N35" s="254"/>
      <c r="O35" s="254"/>
    </row>
    <row r="36" spans="1:15" ht="15" customHeight="1" x14ac:dyDescent="0.3">
      <c r="A36" s="254"/>
      <c r="B36" s="254"/>
      <c r="C36" s="254"/>
      <c r="D36" s="254"/>
      <c r="E36" s="254"/>
      <c r="F36" s="254"/>
      <c r="G36" s="254"/>
      <c r="H36" s="254"/>
      <c r="I36" s="254"/>
      <c r="J36" s="254"/>
      <c r="K36" s="254"/>
      <c r="L36" s="254"/>
      <c r="M36" s="254"/>
      <c r="N36" s="254"/>
      <c r="O36" s="254"/>
    </row>
  </sheetData>
  <sheetProtection selectLockedCells="1"/>
  <mergeCells count="26">
    <mergeCell ref="G30:O30"/>
    <mergeCell ref="G33:O33"/>
    <mergeCell ref="G23:O23"/>
    <mergeCell ref="G24:O24"/>
    <mergeCell ref="G25:O25"/>
    <mergeCell ref="G26:O26"/>
    <mergeCell ref="G27:O27"/>
    <mergeCell ref="G28:O28"/>
    <mergeCell ref="G29:O29"/>
    <mergeCell ref="G32:O32"/>
    <mergeCell ref="G13:O13"/>
    <mergeCell ref="A1:O2"/>
    <mergeCell ref="A35:O36"/>
    <mergeCell ref="G10:O10"/>
    <mergeCell ref="G11:O11"/>
    <mergeCell ref="G12:O12"/>
    <mergeCell ref="G14:O14"/>
    <mergeCell ref="G31:O31"/>
    <mergeCell ref="G15:O15"/>
    <mergeCell ref="G17:O17"/>
    <mergeCell ref="G16:O16"/>
    <mergeCell ref="G18:O18"/>
    <mergeCell ref="G19:O19"/>
    <mergeCell ref="G20:O20"/>
    <mergeCell ref="G21:O21"/>
    <mergeCell ref="G22:O22"/>
  </mergeCells>
  <hyperlinks>
    <hyperlink ref="G14" location="'Policy &amp; Ordinances'!A1" display="Audit Category 1: Management Policy and Ordinances"/>
    <hyperlink ref="G31:O31" location="'Workbook Operation'!A1" display="An example worksheet and instructions for user interaction."/>
    <hyperlink ref="G33:O33" location="'Dropdown Lists'!A1" display="Selections lists and spredsheet protection"/>
    <hyperlink ref="G30:O30" location="About!A1" display="Development and ackowledgements."/>
    <hyperlink ref="G15:O15" location="'Capacity &amp; Training'!A1" display="Audit Category 2: Professional Capacity and Training"/>
    <hyperlink ref="G25:O25" location="'Overall Management Evaluation'!A1" display="Combined evaluation based on 10 categories and selection of criteria"/>
    <hyperlink ref="G16:O16" location="'Funding &amp; Accounting'!A1" display="Audit Category 3: Funding and Accounting"/>
    <hyperlink ref="G17:O17" location="Authority!A1" display="Audit Category 4: Authority"/>
    <hyperlink ref="G18:O18" location="Inventories!A1" display="Audit Category 5: Inventories"/>
    <hyperlink ref="G19:O19" location="'Urban Forest Management Plans'!A1" display="Audit Category 6: Urban Forest Management Plans"/>
    <hyperlink ref="G22:O22" location="'Practices (Standards &amp; BMPS)'!A1" display="Audit Category 9: Pactices (Standards and BMPs)"/>
    <hyperlink ref="G23:O23" location="Community!A1" display="Audit Category 10: Community"/>
    <hyperlink ref="G24:O24" location="'Green Asset Evaluation '!A1" display="Green Assest Evaluation (Soil, Trees) - Observed Outcomes"/>
    <hyperlink ref="G26:O26" location="'Standard of Care'!A1" display="Audit evaluation for legal Standard of Care (SOC)"/>
    <hyperlink ref="G27:O27" location="'Just the Basics'!A1" display="Audit evaluation for urban forest management Basic Practices (BP)"/>
    <hyperlink ref="G28" location="'Management Level'!A1" display="Urban forest Sustainability and Management Level assignment."/>
    <hyperlink ref="G20:O20" location="'Risk Management'!A1" display="Audit Category 7: Risk Management"/>
    <hyperlink ref="G21:O21" location="'Disaster Planning'!A1" display="Audit Category 8: Diaster Planning"/>
    <hyperlink ref="G13:O13" location="'Discovery Matrix &amp; Gaps'!Print_Area" display="List all documents obtained during the discovery phase and develop martrix to reveal gaps"/>
    <hyperlink ref="G29:O29" location="Report!A1" display="Basic report from your UF Audit is generated here"/>
    <hyperlink ref="G32:O32" location="Tutorials!A1" display="Several tutorials that step theuser through the UF Audit process using this spreadsheet"/>
    <hyperlink ref="G12:O12" location="'Review Information'!A1" display="Enter basic Review and Review team information here."/>
    <hyperlink ref="G11:O11" location="'UF Review Instructions'!A1" display="A  general description of the Review process and use of this calculation (spreadsheet) tool."/>
  </hyperlinks>
  <pageMargins left="0.7" right="0.7" top="0.75" bottom="0.75" header="0.3" footer="0.3"/>
  <pageSetup scale="8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46"/>
  <sheetViews>
    <sheetView zoomScale="75" zoomScaleNormal="75" workbookViewId="0">
      <selection sqref="A1:E2"/>
    </sheetView>
  </sheetViews>
  <sheetFormatPr defaultColWidth="9.109375" defaultRowHeight="14.4" x14ac:dyDescent="0.3"/>
  <cols>
    <col min="1" max="1" width="11.109375" style="5" customWidth="1"/>
    <col min="2" max="2" width="36.109375" style="5" customWidth="1"/>
    <col min="3" max="3" width="54.88671875" style="5" customWidth="1"/>
    <col min="4" max="4" width="27.5546875" style="5" customWidth="1"/>
    <col min="5" max="5" width="39.88671875" style="5" customWidth="1"/>
    <col min="6" max="6" width="4.44140625" style="5" customWidth="1"/>
    <col min="7" max="7" width="28.5546875" style="5" customWidth="1"/>
    <col min="8" max="8" width="9.88671875" style="5" customWidth="1"/>
    <col min="9" max="9" width="7.88671875" style="5" customWidth="1"/>
    <col min="10" max="11" width="7.44140625" style="5" customWidth="1"/>
    <col min="12" max="12" width="9.88671875" style="5" customWidth="1"/>
    <col min="13" max="13" width="11.6640625" style="5" customWidth="1"/>
    <col min="14" max="16384" width="9.109375" style="5"/>
  </cols>
  <sheetData>
    <row r="1" spans="1:13" x14ac:dyDescent="0.3">
      <c r="A1" s="256" t="str">
        <f>About!A1</f>
        <v>Urban Forest Sustainability and Management Review (v6.6a Austin)</v>
      </c>
      <c r="B1" s="257"/>
      <c r="C1" s="257"/>
      <c r="D1" s="257"/>
      <c r="E1" s="257"/>
      <c r="F1" s="302"/>
      <c r="G1" s="302"/>
      <c r="H1" s="302"/>
      <c r="I1" s="302"/>
      <c r="J1" s="302"/>
      <c r="K1" s="302"/>
      <c r="L1" s="302"/>
      <c r="M1" s="302"/>
    </row>
    <row r="2" spans="1:13" x14ac:dyDescent="0.3">
      <c r="A2" s="257"/>
      <c r="B2" s="257"/>
      <c r="C2" s="257"/>
      <c r="D2" s="257"/>
      <c r="E2" s="257"/>
      <c r="F2" s="302"/>
      <c r="G2" s="302"/>
      <c r="H2" s="302"/>
      <c r="I2" s="302"/>
      <c r="J2" s="302"/>
      <c r="K2" s="302"/>
      <c r="L2" s="302"/>
      <c r="M2" s="302"/>
    </row>
    <row r="3" spans="1:13" x14ac:dyDescent="0.3">
      <c r="C3" s="9"/>
      <c r="D3" s="10"/>
      <c r="H3" s="11"/>
      <c r="I3" s="11"/>
      <c r="J3" s="11"/>
      <c r="K3" s="11"/>
    </row>
    <row r="4" spans="1:13" ht="24" customHeight="1" x14ac:dyDescent="0.3">
      <c r="A4" s="12"/>
      <c r="B4" s="69" t="s">
        <v>31</v>
      </c>
      <c r="C4" s="71" t="str">
        <f>'Review Information'!C6</f>
        <v xml:space="preserve">&lt; enter the name of the city or college &gt; </v>
      </c>
      <c r="D4" s="69" t="s">
        <v>30</v>
      </c>
      <c r="E4" s="71" t="str">
        <f>'Review Information'!E6</f>
        <v>&lt; enter arborist here &gt;</v>
      </c>
      <c r="H4" s="11"/>
      <c r="I4" s="11"/>
      <c r="J4" s="11"/>
      <c r="K4" s="11"/>
      <c r="L4" s="11"/>
      <c r="M4" s="46" t="s">
        <v>115</v>
      </c>
    </row>
    <row r="5" spans="1:13" ht="24" customHeight="1" x14ac:dyDescent="0.3">
      <c r="A5" s="12"/>
      <c r="B5" s="69" t="s">
        <v>0</v>
      </c>
      <c r="C5" s="71" t="str">
        <f>'Review Information'!C7</f>
        <v>&lt; enter the team leaders name here &gt;</v>
      </c>
      <c r="D5" s="69" t="s">
        <v>29</v>
      </c>
      <c r="E5" s="73">
        <f>'Review Information'!E7</f>
        <v>42625</v>
      </c>
      <c r="H5" s="11"/>
      <c r="I5" s="11"/>
      <c r="J5" s="11"/>
      <c r="K5" s="11"/>
    </row>
    <row r="6" spans="1:13" ht="24" customHeight="1" x14ac:dyDescent="0.3">
      <c r="A6" s="12"/>
      <c r="B6" s="69" t="s">
        <v>32</v>
      </c>
      <c r="C6" s="71" t="str">
        <f>'Review Information'!C8</f>
        <v>5) Municipality</v>
      </c>
      <c r="D6" s="69"/>
      <c r="E6" s="73"/>
      <c r="H6" s="11"/>
      <c r="I6" s="11"/>
      <c r="J6" s="11"/>
      <c r="K6" s="11"/>
    </row>
    <row r="7" spans="1:13" ht="15.6" x14ac:dyDescent="0.3">
      <c r="C7" s="76"/>
      <c r="D7" s="10"/>
      <c r="H7" s="11"/>
      <c r="I7" s="11"/>
      <c r="J7" s="11"/>
      <c r="K7" s="11"/>
    </row>
    <row r="8" spans="1:13" ht="24" customHeight="1" x14ac:dyDescent="0.3">
      <c r="A8" s="13">
        <v>6</v>
      </c>
      <c r="B8" s="66" t="s">
        <v>86</v>
      </c>
      <c r="H8" s="11"/>
      <c r="I8" s="11"/>
      <c r="J8" s="11"/>
      <c r="K8" s="11"/>
    </row>
    <row r="9" spans="1:13" ht="18" customHeight="1" x14ac:dyDescent="0.3">
      <c r="A9" s="14"/>
      <c r="H9" s="15" t="s">
        <v>106</v>
      </c>
      <c r="I9" s="16"/>
      <c r="J9" s="16"/>
      <c r="K9" s="16"/>
      <c r="L9" s="17"/>
      <c r="M9" s="17"/>
    </row>
    <row r="10" spans="1:13" ht="24" customHeight="1" x14ac:dyDescent="0.3">
      <c r="A10" s="103" t="s">
        <v>66</v>
      </c>
      <c r="B10" s="101" t="s">
        <v>67</v>
      </c>
      <c r="C10" s="101" t="s">
        <v>1</v>
      </c>
      <c r="D10" s="111" t="s">
        <v>2</v>
      </c>
      <c r="E10" s="109" t="s">
        <v>3</v>
      </c>
      <c r="F10" s="7"/>
      <c r="G10" s="7"/>
      <c r="H10" s="20" t="s">
        <v>58</v>
      </c>
      <c r="I10" s="20" t="s">
        <v>109</v>
      </c>
      <c r="J10" s="20" t="s">
        <v>63</v>
      </c>
      <c r="K10" s="20" t="s">
        <v>57</v>
      </c>
      <c r="L10" s="20" t="s">
        <v>56</v>
      </c>
      <c r="M10" s="20" t="s">
        <v>110</v>
      </c>
    </row>
    <row r="11" spans="1:13" ht="24" customHeight="1" thickBot="1" x14ac:dyDescent="0.35">
      <c r="A11" s="86">
        <f>A8</f>
        <v>6</v>
      </c>
      <c r="B11" s="87" t="s">
        <v>216</v>
      </c>
      <c r="C11" s="88"/>
      <c r="D11" s="88"/>
      <c r="E11" s="91"/>
      <c r="H11" s="11"/>
      <c r="I11" s="11"/>
      <c r="J11" s="11"/>
      <c r="K11" s="11"/>
    </row>
    <row r="12" spans="1:13" ht="36" customHeight="1" thickTop="1" thickBot="1" x14ac:dyDescent="0.35">
      <c r="A12" s="86">
        <f>$A$8 + (ROW()-11)/100</f>
        <v>6.01</v>
      </c>
      <c r="B12" s="87" t="s">
        <v>200</v>
      </c>
      <c r="C12" s="88" t="s">
        <v>220</v>
      </c>
      <c r="D12" s="92"/>
      <c r="E12" s="49" t="s">
        <v>37</v>
      </c>
      <c r="H12" s="6">
        <v>0</v>
      </c>
      <c r="I12" s="6">
        <v>0</v>
      </c>
      <c r="J12" s="6">
        <v>0</v>
      </c>
      <c r="K12" s="6">
        <v>0</v>
      </c>
      <c r="L12" s="6">
        <v>1</v>
      </c>
      <c r="M12" s="6">
        <v>0</v>
      </c>
    </row>
    <row r="13" spans="1:13" ht="36" customHeight="1" thickTop="1" thickBot="1" x14ac:dyDescent="0.35">
      <c r="A13" s="86">
        <f t="shared" ref="A13:A25" si="0">$A$8 + (ROW()-11)/100</f>
        <v>6.02</v>
      </c>
      <c r="B13" s="89" t="s">
        <v>179</v>
      </c>
      <c r="C13" s="90" t="s">
        <v>180</v>
      </c>
      <c r="D13" s="102" t="s">
        <v>181</v>
      </c>
      <c r="E13" s="134"/>
      <c r="H13" s="129"/>
      <c r="I13" s="129"/>
      <c r="J13" s="129"/>
      <c r="K13" s="129"/>
      <c r="L13" s="129"/>
      <c r="M13" s="129"/>
    </row>
    <row r="14" spans="1:13" ht="24" customHeight="1" thickTop="1" thickBot="1" x14ac:dyDescent="0.35">
      <c r="A14" s="86">
        <f t="shared" si="0"/>
        <v>6.03</v>
      </c>
      <c r="B14" s="90" t="s">
        <v>201</v>
      </c>
      <c r="C14" s="90" t="s">
        <v>202</v>
      </c>
      <c r="D14" s="102"/>
      <c r="E14" s="49" t="s">
        <v>37</v>
      </c>
      <c r="H14" s="6">
        <v>0</v>
      </c>
      <c r="I14" s="6">
        <v>0</v>
      </c>
      <c r="J14" s="6">
        <v>0</v>
      </c>
      <c r="K14" s="6">
        <v>0</v>
      </c>
      <c r="L14" s="6">
        <v>1</v>
      </c>
      <c r="M14" s="6">
        <v>0</v>
      </c>
    </row>
    <row r="15" spans="1:13" ht="24" customHeight="1" thickTop="1" thickBot="1" x14ac:dyDescent="0.35">
      <c r="A15" s="86">
        <f t="shared" si="0"/>
        <v>6.04</v>
      </c>
      <c r="B15" s="90" t="s">
        <v>203</v>
      </c>
      <c r="C15" s="90" t="s">
        <v>204</v>
      </c>
      <c r="D15" s="102"/>
      <c r="E15" s="49" t="s">
        <v>37</v>
      </c>
      <c r="H15" s="6">
        <v>0</v>
      </c>
      <c r="I15" s="6">
        <v>0</v>
      </c>
      <c r="J15" s="6">
        <v>0</v>
      </c>
      <c r="K15" s="6">
        <v>0</v>
      </c>
      <c r="L15" s="6">
        <v>1</v>
      </c>
      <c r="M15" s="6">
        <v>0</v>
      </c>
    </row>
    <row r="16" spans="1:13" ht="36" customHeight="1" thickTop="1" thickBot="1" x14ac:dyDescent="0.35">
      <c r="A16" s="86">
        <f t="shared" si="0"/>
        <v>6.05</v>
      </c>
      <c r="B16" s="90" t="s">
        <v>185</v>
      </c>
      <c r="C16" s="90" t="s">
        <v>186</v>
      </c>
      <c r="D16" s="102"/>
      <c r="E16" s="49" t="s">
        <v>37</v>
      </c>
      <c r="H16" s="6">
        <v>0</v>
      </c>
      <c r="I16" s="6">
        <v>0</v>
      </c>
      <c r="J16" s="6">
        <v>0</v>
      </c>
      <c r="K16" s="6">
        <v>0</v>
      </c>
      <c r="L16" s="6">
        <v>1</v>
      </c>
      <c r="M16" s="6">
        <v>0</v>
      </c>
    </row>
    <row r="17" spans="1:13" ht="36" customHeight="1" thickTop="1" thickBot="1" x14ac:dyDescent="0.35">
      <c r="A17" s="86">
        <f t="shared" si="0"/>
        <v>6.06</v>
      </c>
      <c r="B17" s="89" t="s">
        <v>190</v>
      </c>
      <c r="C17" s="90"/>
      <c r="D17" s="102" t="s">
        <v>181</v>
      </c>
      <c r="E17" s="134"/>
      <c r="H17" s="129"/>
      <c r="I17" s="129"/>
      <c r="J17" s="129"/>
      <c r="K17" s="129"/>
      <c r="L17" s="129"/>
      <c r="M17" s="129"/>
    </row>
    <row r="18" spans="1:13" ht="24" customHeight="1" thickTop="1" thickBot="1" x14ac:dyDescent="0.35">
      <c r="A18" s="86">
        <f t="shared" si="0"/>
        <v>6.07</v>
      </c>
      <c r="B18" s="90" t="s">
        <v>191</v>
      </c>
      <c r="C18" s="90" t="s">
        <v>205</v>
      </c>
      <c r="D18" s="102"/>
      <c r="E18" s="49" t="s">
        <v>37</v>
      </c>
      <c r="H18" s="6">
        <v>0</v>
      </c>
      <c r="I18" s="6">
        <v>0</v>
      </c>
      <c r="J18" s="6">
        <v>0</v>
      </c>
      <c r="K18" s="6">
        <v>0</v>
      </c>
      <c r="L18" s="6">
        <v>1</v>
      </c>
      <c r="M18" s="6">
        <v>0</v>
      </c>
    </row>
    <row r="19" spans="1:13" ht="24" customHeight="1" thickTop="1" thickBot="1" x14ac:dyDescent="0.35">
      <c r="A19" s="86">
        <f t="shared" si="0"/>
        <v>6.08</v>
      </c>
      <c r="B19" s="90" t="s">
        <v>58</v>
      </c>
      <c r="C19" s="90" t="s">
        <v>206</v>
      </c>
      <c r="D19" s="102"/>
      <c r="E19" s="49" t="s">
        <v>37</v>
      </c>
      <c r="H19" s="6">
        <v>0</v>
      </c>
      <c r="I19" s="6">
        <v>0</v>
      </c>
      <c r="J19" s="6">
        <v>0</v>
      </c>
      <c r="K19" s="6">
        <v>0</v>
      </c>
      <c r="L19" s="6">
        <v>1</v>
      </c>
      <c r="M19" s="6">
        <v>0</v>
      </c>
    </row>
    <row r="20" spans="1:13" ht="24" customHeight="1" thickTop="1" thickBot="1" x14ac:dyDescent="0.35">
      <c r="A20" s="86">
        <f t="shared" si="0"/>
        <v>6.09</v>
      </c>
      <c r="B20" s="90" t="s">
        <v>192</v>
      </c>
      <c r="C20" s="90" t="s">
        <v>206</v>
      </c>
      <c r="D20" s="102"/>
      <c r="E20" s="49" t="s">
        <v>37</v>
      </c>
      <c r="H20" s="6">
        <v>0</v>
      </c>
      <c r="I20" s="6">
        <v>0</v>
      </c>
      <c r="J20" s="6">
        <v>0</v>
      </c>
      <c r="K20" s="6">
        <v>0</v>
      </c>
      <c r="L20" s="6">
        <v>1</v>
      </c>
      <c r="M20" s="6">
        <v>0</v>
      </c>
    </row>
    <row r="21" spans="1:13" ht="36" customHeight="1" thickTop="1" thickBot="1" x14ac:dyDescent="0.35">
      <c r="A21" s="86">
        <f t="shared" si="0"/>
        <v>6.1</v>
      </c>
      <c r="B21" s="87" t="s">
        <v>207</v>
      </c>
      <c r="C21" s="88" t="s">
        <v>208</v>
      </c>
      <c r="D21" s="92" t="s">
        <v>209</v>
      </c>
      <c r="E21" s="49" t="s">
        <v>37</v>
      </c>
      <c r="H21" s="6">
        <v>0</v>
      </c>
      <c r="I21" s="6">
        <v>0</v>
      </c>
      <c r="J21" s="6">
        <v>0</v>
      </c>
      <c r="K21" s="6">
        <v>0</v>
      </c>
      <c r="L21" s="6">
        <v>1</v>
      </c>
      <c r="M21" s="6">
        <v>0</v>
      </c>
    </row>
    <row r="22" spans="1:13" ht="36" customHeight="1" thickTop="1" thickBot="1" x14ac:dyDescent="0.35">
      <c r="A22" s="86">
        <f t="shared" si="0"/>
        <v>6.11</v>
      </c>
      <c r="B22" s="87" t="s">
        <v>218</v>
      </c>
      <c r="C22" s="88" t="s">
        <v>219</v>
      </c>
      <c r="D22" s="92"/>
      <c r="E22" s="49" t="s">
        <v>37</v>
      </c>
      <c r="H22" s="6">
        <v>0</v>
      </c>
      <c r="I22" s="6">
        <v>0</v>
      </c>
      <c r="J22" s="6">
        <v>0</v>
      </c>
      <c r="K22" s="6">
        <v>0</v>
      </c>
      <c r="L22" s="6">
        <v>1</v>
      </c>
      <c r="M22" s="6">
        <v>0</v>
      </c>
    </row>
    <row r="23" spans="1:13" ht="36" customHeight="1" thickTop="1" thickBot="1" x14ac:dyDescent="0.35">
      <c r="A23" s="86">
        <f t="shared" si="0"/>
        <v>6.12</v>
      </c>
      <c r="B23" s="87" t="s">
        <v>210</v>
      </c>
      <c r="C23" s="88" t="s">
        <v>211</v>
      </c>
      <c r="D23" s="92"/>
      <c r="E23" s="49" t="s">
        <v>37</v>
      </c>
      <c r="H23" s="6">
        <v>0</v>
      </c>
      <c r="I23" s="6">
        <v>0</v>
      </c>
      <c r="J23" s="6">
        <v>0</v>
      </c>
      <c r="K23" s="6">
        <v>0</v>
      </c>
      <c r="L23" s="6">
        <v>1</v>
      </c>
      <c r="M23" s="6">
        <v>0</v>
      </c>
    </row>
    <row r="24" spans="1:13" ht="60" customHeight="1" thickTop="1" thickBot="1" x14ac:dyDescent="0.35">
      <c r="A24" s="86">
        <f t="shared" si="0"/>
        <v>6.13</v>
      </c>
      <c r="B24" s="87" t="s">
        <v>212</v>
      </c>
      <c r="C24" s="88" t="s">
        <v>213</v>
      </c>
      <c r="D24" s="92"/>
      <c r="E24" s="49" t="s">
        <v>37</v>
      </c>
      <c r="H24" s="6">
        <v>0</v>
      </c>
      <c r="I24" s="6">
        <v>0</v>
      </c>
      <c r="J24" s="6">
        <v>0</v>
      </c>
      <c r="K24" s="6">
        <v>0</v>
      </c>
      <c r="L24" s="6">
        <v>1</v>
      </c>
      <c r="M24" s="6">
        <v>0</v>
      </c>
    </row>
    <row r="25" spans="1:13" ht="72" customHeight="1" thickTop="1" thickBot="1" x14ac:dyDescent="0.35">
      <c r="A25" s="86">
        <f t="shared" si="0"/>
        <v>6.14</v>
      </c>
      <c r="B25" s="87" t="s">
        <v>214</v>
      </c>
      <c r="C25" s="88" t="s">
        <v>215</v>
      </c>
      <c r="D25" s="92" t="s">
        <v>217</v>
      </c>
      <c r="E25" s="49" t="s">
        <v>37</v>
      </c>
      <c r="H25" s="6">
        <v>0</v>
      </c>
      <c r="I25" s="6">
        <v>0</v>
      </c>
      <c r="J25" s="6">
        <v>0</v>
      </c>
      <c r="K25" s="6">
        <v>0</v>
      </c>
      <c r="L25" s="6">
        <v>1</v>
      </c>
      <c r="M25" s="6">
        <v>0</v>
      </c>
    </row>
    <row r="26" spans="1:13" ht="24" customHeight="1" thickTop="1" x14ac:dyDescent="0.3">
      <c r="H26" s="11"/>
      <c r="I26" s="11"/>
      <c r="J26" s="11"/>
      <c r="K26" s="11"/>
    </row>
    <row r="27" spans="1:13" ht="24" customHeight="1" x14ac:dyDescent="0.35">
      <c r="B27" s="188" t="str">
        <f xml:space="preserve"> "Review Team Notes: " &amp; B8</f>
        <v>Review Team Notes: Urban Forest Management Plans</v>
      </c>
      <c r="F27" s="25"/>
      <c r="G27" s="26" t="s">
        <v>223</v>
      </c>
      <c r="H27" s="40">
        <f t="shared" ref="H27:M27" si="1">SUM(H12:H25)</f>
        <v>0</v>
      </c>
      <c r="I27" s="40">
        <f t="shared" si="1"/>
        <v>0</v>
      </c>
      <c r="J27" s="40">
        <f t="shared" si="1"/>
        <v>0</v>
      </c>
      <c r="K27" s="40">
        <f t="shared" si="1"/>
        <v>0</v>
      </c>
      <c r="L27" s="40">
        <f t="shared" si="1"/>
        <v>12</v>
      </c>
      <c r="M27" s="40">
        <f t="shared" si="1"/>
        <v>0</v>
      </c>
    </row>
    <row r="28" spans="1:13" ht="24" customHeight="1" x14ac:dyDescent="0.3">
      <c r="F28" s="27"/>
      <c r="G28" s="26" t="s">
        <v>99</v>
      </c>
      <c r="H28" s="40">
        <f>H27 * LEFT('Review Information'!$C$9,1)</f>
        <v>0</v>
      </c>
      <c r="I28" s="40">
        <f>I27 * LEFT('Review Information'!$C$9,1)</f>
        <v>0</v>
      </c>
      <c r="J28" s="40">
        <f>J27 * LEFT('Review Information'!$C$9,1)</f>
        <v>0</v>
      </c>
      <c r="K28" s="40">
        <f>K27 * LEFT('Review Information'!$C$9,1)</f>
        <v>0</v>
      </c>
      <c r="L28" s="40">
        <f>L27 * LEFT('Review Information'!$C$9,1)</f>
        <v>24</v>
      </c>
      <c r="M28" s="40">
        <f>M27 * LEFT('Review Information'!$C$9,1)</f>
        <v>0</v>
      </c>
    </row>
    <row r="29" spans="1:13" ht="24" customHeight="1" x14ac:dyDescent="0.3">
      <c r="B29" s="299" t="s">
        <v>413</v>
      </c>
      <c r="C29" s="300"/>
      <c r="D29" s="300"/>
      <c r="E29" s="301"/>
      <c r="F29" s="27"/>
      <c r="G29" s="26" t="s">
        <v>100</v>
      </c>
      <c r="H29" s="18" t="str">
        <f>IF(LEFT('Review Information'!$C$8,1)="1",SUM(LEFT($E$12,1),LEFT($E$14,1),LEFT($E$15,1),LEFT($E$16,1),LEFT($E$18,1),LEFT($E$19,1),LEFT($E$20,1),LEFT($E$21,1),LEFT($E$22,1),LEFT($E$23,1),LEFT($E$25,1)),"NA")</f>
        <v>NA</v>
      </c>
      <c r="I29" s="18" t="str">
        <f>IF(LEFT('Review Information'!$C$8,1)="2",SUM(LEFT($E$12,1),LEFT($E$14,1),LEFT($E$15,1),LEFT($E$16,1),LEFT($E$18,1),LEFT($E$19,1),LEFT($E$20,1),LEFT($E$21,1),LEFT($E$22,1),LEFT($E$23,1),LEFT($E$25,1)),"NA")</f>
        <v>NA</v>
      </c>
      <c r="J29" s="18" t="str">
        <f>IF(LEFT('Review Information'!$C$8,1)="3",SUM(LEFT($E$12,1),LEFT($E$14,1),LEFT($E$15,1),LEFT($E$16,1),LEFT($E$18,1),LEFT($E$19,1),LEFT($E$20,1),LEFT($E$21,1),LEFT($E$22,1),LEFT($E$23,1),LEFT($E$25,1)),"NA")</f>
        <v>NA</v>
      </c>
      <c r="K29" s="18" t="str">
        <f>IF(LEFT('Review Information'!$C$8,1)="4",SUM(LEFT($E$12,1),LEFT($E$14,1),LEFT($E$15,1),LEFT($E$16,1),LEFT($E$18,1),LEFT($E$19,1),LEFT($E$20,1),LEFT($E$21,1),LEFT($E$22,1),LEFT($E$23,1),LEFT($E$25,1)),"NA")</f>
        <v>NA</v>
      </c>
      <c r="L29" s="18">
        <f>IF(LEFT('Review Information'!$C$8,1)="5",SUM(LEFT($E$12,1),LEFT($E$14,1),LEFT($E$15,1),LEFT($E$16,1),LEFT($E$18,1),LEFT($E$19,1),LEFT($E$20,1),LEFT($E$21,1),LEFT($E$22,1),LEFT($E$23,1),LEFT($E$25,1)),"NA")</f>
        <v>0</v>
      </c>
      <c r="M29" s="18" t="str">
        <f>IF(LEFT('Review Information'!$C$8,1)="6",SUM(LEFT($E$12,1),LEFT($E$14,1),LEFT($E$15,1),LEFT($E$16,1),LEFT($E$18,1),LEFT($E$19,1),LEFT($E$20,1),LEFT($E$21,1),LEFT($E$22,1),LEFT($E$23,1),LEFT($E$25,1)),"NA")</f>
        <v>NA</v>
      </c>
    </row>
    <row r="30" spans="1:13" ht="24" customHeight="1" x14ac:dyDescent="0.3">
      <c r="B30" s="278"/>
      <c r="C30" s="279"/>
      <c r="D30" s="279"/>
      <c r="E30" s="280"/>
      <c r="F30" s="27"/>
      <c r="G30" s="26" t="s">
        <v>105</v>
      </c>
      <c r="H30" s="41" t="str">
        <f>IF(LEFT('Review Information'!$C$8,1)="1",H$29/H$28,"NA")</f>
        <v>NA</v>
      </c>
      <c r="I30" s="41" t="str">
        <f>IF(LEFT('Review Information'!$C$8,1)="2",I$29/I$28,"NA")</f>
        <v>NA</v>
      </c>
      <c r="J30" s="41" t="str">
        <f>IF(LEFT('Review Information'!$C$8,1)="3",J$29/J$28,"NA")</f>
        <v>NA</v>
      </c>
      <c r="K30" s="41" t="str">
        <f>IF(LEFT('Review Information'!$C$8,1)="4",K$29/K$28,"NA")</f>
        <v>NA</v>
      </c>
      <c r="L30" s="41">
        <f>IF(LEFT('Review Information'!$C$8,1)="5",L$29/L$28,"NA")</f>
        <v>0</v>
      </c>
      <c r="M30" s="41" t="str">
        <f>IF(LEFT('Review Information'!$C$8,1)="6",M$29/M$28,"NA")</f>
        <v>NA</v>
      </c>
    </row>
    <row r="31" spans="1:13" ht="24" customHeight="1" x14ac:dyDescent="0.3">
      <c r="B31" s="278"/>
      <c r="C31" s="279"/>
      <c r="D31" s="279"/>
      <c r="E31" s="280"/>
      <c r="H31" s="11"/>
      <c r="I31" s="11"/>
      <c r="J31" s="11"/>
      <c r="K31" s="11"/>
    </row>
    <row r="32" spans="1:13" ht="24" customHeight="1" x14ac:dyDescent="0.3">
      <c r="B32" s="278"/>
      <c r="C32" s="279"/>
      <c r="D32" s="279"/>
      <c r="E32" s="280"/>
      <c r="H32" s="11"/>
      <c r="I32" s="11"/>
      <c r="J32" s="11"/>
      <c r="K32" s="11"/>
    </row>
    <row r="33" spans="1:13" ht="24" customHeight="1" x14ac:dyDescent="0.3">
      <c r="B33" s="278"/>
      <c r="C33" s="279"/>
      <c r="D33" s="279"/>
      <c r="E33" s="280"/>
      <c r="H33" s="15" t="s">
        <v>107</v>
      </c>
      <c r="I33" s="16"/>
      <c r="J33" s="16"/>
      <c r="K33" s="16"/>
      <c r="L33" s="17"/>
      <c r="M33" s="17"/>
    </row>
    <row r="34" spans="1:13" ht="24" customHeight="1" x14ac:dyDescent="0.3">
      <c r="B34" s="278"/>
      <c r="C34" s="279"/>
      <c r="D34" s="279"/>
      <c r="E34" s="280"/>
      <c r="G34" s="77" t="s">
        <v>102</v>
      </c>
      <c r="H34" s="125">
        <v>0</v>
      </c>
      <c r="I34" s="125">
        <v>0</v>
      </c>
      <c r="J34" s="125">
        <v>0</v>
      </c>
      <c r="K34" s="125">
        <v>0</v>
      </c>
      <c r="L34" s="125">
        <v>0</v>
      </c>
      <c r="M34" s="125">
        <v>0</v>
      </c>
    </row>
    <row r="35" spans="1:13" ht="24" customHeight="1" x14ac:dyDescent="0.3">
      <c r="B35" s="278"/>
      <c r="C35" s="279"/>
      <c r="D35" s="279"/>
      <c r="E35" s="280"/>
      <c r="G35" s="77" t="s">
        <v>103</v>
      </c>
      <c r="H35" s="40">
        <f>H34 * LEFT('Review Information'!$C$9,1)</f>
        <v>0</v>
      </c>
      <c r="I35" s="40">
        <f>I34 * LEFT('Review Information'!$C$9,1)</f>
        <v>0</v>
      </c>
      <c r="J35" s="40">
        <f>J34 * LEFT('Review Information'!$C$9,1)</f>
        <v>0</v>
      </c>
      <c r="K35" s="40">
        <f>K34 * LEFT('Review Information'!$C$9,1)</f>
        <v>0</v>
      </c>
      <c r="L35" s="40">
        <f>L34 * LEFT('Review Information'!$C$9,1)</f>
        <v>0</v>
      </c>
      <c r="M35" s="40">
        <f>M34 * LEFT('Review Information'!$C$9,1)</f>
        <v>0</v>
      </c>
    </row>
    <row r="36" spans="1:13" ht="24" customHeight="1" x14ac:dyDescent="0.3">
      <c r="B36" s="278"/>
      <c r="C36" s="279"/>
      <c r="D36" s="279"/>
      <c r="E36" s="280"/>
      <c r="G36" s="77" t="s">
        <v>73</v>
      </c>
      <c r="H36" s="42" t="s">
        <v>149</v>
      </c>
      <c r="I36" s="42" t="s">
        <v>149</v>
      </c>
      <c r="J36" s="42" t="s">
        <v>149</v>
      </c>
      <c r="K36" s="42" t="s">
        <v>149</v>
      </c>
      <c r="L36" s="42" t="s">
        <v>149</v>
      </c>
      <c r="M36" s="42" t="s">
        <v>149</v>
      </c>
    </row>
    <row r="37" spans="1:13" ht="24" customHeight="1" x14ac:dyDescent="0.3">
      <c r="B37" s="281"/>
      <c r="C37" s="282"/>
      <c r="D37" s="282"/>
      <c r="E37" s="283"/>
      <c r="G37" s="77" t="s">
        <v>197</v>
      </c>
      <c r="H37" s="41" t="s">
        <v>149</v>
      </c>
      <c r="I37" s="42" t="s">
        <v>149</v>
      </c>
      <c r="J37" s="42" t="s">
        <v>149</v>
      </c>
      <c r="K37" s="42" t="s">
        <v>149</v>
      </c>
      <c r="L37" s="42" t="s">
        <v>149</v>
      </c>
      <c r="M37" s="42" t="s">
        <v>149</v>
      </c>
    </row>
    <row r="38" spans="1:13" ht="24" customHeight="1" x14ac:dyDescent="0.3">
      <c r="G38" s="26"/>
      <c r="H38" s="41"/>
      <c r="I38" s="41"/>
      <c r="J38" s="41"/>
      <c r="K38" s="41"/>
      <c r="L38" s="41"/>
      <c r="M38" s="41"/>
    </row>
    <row r="39" spans="1:13" ht="24" customHeight="1" x14ac:dyDescent="0.3">
      <c r="B39" s="293" t="s">
        <v>36</v>
      </c>
      <c r="C39" s="294"/>
      <c r="D39" s="294"/>
      <c r="E39" s="295"/>
      <c r="H39" s="15" t="s">
        <v>108</v>
      </c>
      <c r="I39" s="43"/>
      <c r="J39" s="43"/>
      <c r="K39" s="43"/>
      <c r="L39" s="43"/>
      <c r="M39" s="43"/>
    </row>
    <row r="40" spans="1:13" ht="54" customHeight="1" x14ac:dyDescent="0.3">
      <c r="B40" s="284" t="s">
        <v>400</v>
      </c>
      <c r="C40" s="285"/>
      <c r="D40" s="285"/>
      <c r="E40" s="286"/>
      <c r="G40" s="78" t="s">
        <v>101</v>
      </c>
      <c r="H40" s="133">
        <v>1</v>
      </c>
      <c r="I40" s="133">
        <v>1</v>
      </c>
      <c r="J40" s="133">
        <v>1</v>
      </c>
      <c r="K40" s="133">
        <v>2</v>
      </c>
      <c r="L40" s="133">
        <v>2</v>
      </c>
      <c r="M40" s="133">
        <v>2</v>
      </c>
    </row>
    <row r="41" spans="1:13" ht="38.25" customHeight="1" x14ac:dyDescent="0.3">
      <c r="B41" s="296" t="s">
        <v>401</v>
      </c>
      <c r="C41" s="297"/>
      <c r="D41" s="297"/>
      <c r="E41" s="298"/>
      <c r="G41" s="78" t="s">
        <v>104</v>
      </c>
      <c r="H41" s="40">
        <f>H40 * LEFT('Review Information'!$C$9,1)</f>
        <v>2</v>
      </c>
      <c r="I41" s="40">
        <f>I40 * LEFT('Review Information'!$C$9,1)</f>
        <v>2</v>
      </c>
      <c r="J41" s="40">
        <f>J40 * LEFT('Review Information'!$C$9,1)</f>
        <v>2</v>
      </c>
      <c r="K41" s="40">
        <f>K40 * LEFT('Review Information'!$C$9,1)</f>
        <v>4</v>
      </c>
      <c r="L41" s="40">
        <f>L40 * LEFT('Review Information'!$C$9,1)</f>
        <v>4</v>
      </c>
      <c r="M41" s="40">
        <f>M40 * LEFT('Review Information'!$C$9,1)</f>
        <v>4</v>
      </c>
    </row>
    <row r="42" spans="1:13" ht="33" customHeight="1" x14ac:dyDescent="0.3">
      <c r="B42" s="287" t="s">
        <v>74</v>
      </c>
      <c r="C42" s="288"/>
      <c r="D42" s="288"/>
      <c r="E42" s="289"/>
      <c r="G42" s="78" t="s">
        <v>75</v>
      </c>
      <c r="H42" s="42" t="str">
        <f>IF(LEFT('Review Information'!$C$8,1)="1",SUM(LEFT($E$14,1),LEFT($E$15,1),LEFT($E$16,1),LEFT($E$18,1),LEFT($E$19,1),LEFT($E$20,1)),"NA")</f>
        <v>NA</v>
      </c>
      <c r="I42" s="42" t="str">
        <f>IF(LEFT('Review Information'!$C$8,1)="2",SUM(LEFT($E$14,1),LEFT($E$15,1),LEFT($E$16,1),LEFT($E$18,1),LEFT($E$19,1),LEFT($E$20,1)),"NA")</f>
        <v>NA</v>
      </c>
      <c r="J42" s="42" t="str">
        <f>IF(LEFT('Review Information'!$C$8,1)="3",SUM(LEFT($E$14,1),LEFT($E$15,1),LEFT($E$16,1),LEFT($E$18,1),LEFT($E$19,1),LEFT($E$20,1)),"NA")</f>
        <v>NA</v>
      </c>
      <c r="K42" s="42" t="str">
        <f>IF(LEFT('Review Information'!$C$8,1)="4",SUM(LEFT($E$14,1),LEFT($E$15,1),LEFT($E$16,1),LEFT($E$18,1),LEFT($E$19,1),LEFT($E$20,1)),"NA")</f>
        <v>NA</v>
      </c>
      <c r="L42" s="42">
        <f>IF(LEFT('Review Information'!$C$8,1)="5",SUM(LEFT($E$14,1),LEFT($E$15,1),LEFT($E$16,1),LEFT($E$18,1),LEFT($E$19,1),LEFT($E$20,1)),"NA")</f>
        <v>0</v>
      </c>
      <c r="M42" s="42" t="str">
        <f>IF(LEFT('Review Information'!$C$8,1)="6",SUM(LEFT($E$14,1),LEFT($E$15,1),LEFT($E$16,1),LEFT($E$18,1),LEFT($E$19,1),LEFT($E$20,1)),"NA")</f>
        <v>NA</v>
      </c>
    </row>
    <row r="43" spans="1:13" ht="24" customHeight="1" x14ac:dyDescent="0.3">
      <c r="B43" s="290" t="s">
        <v>45</v>
      </c>
      <c r="C43" s="291"/>
      <c r="D43" s="291"/>
      <c r="E43" s="292"/>
      <c r="G43" s="78" t="s">
        <v>198</v>
      </c>
      <c r="H43" s="41" t="str">
        <f>IF(LEFT('Review Information'!$C$8,1)="1",H42/H41, "NA")</f>
        <v>NA</v>
      </c>
      <c r="I43" s="41" t="str">
        <f>IF(LEFT('Review Information'!$C$8,1)="2",I42/I41, "NA")</f>
        <v>NA</v>
      </c>
      <c r="J43" s="41" t="str">
        <f>IF(LEFT('Review Information'!$C$8,1)="3",J42/J41, "NA")</f>
        <v>NA</v>
      </c>
      <c r="K43" s="41" t="str">
        <f>IF(LEFT('Review Information'!$C$8,1)="4",K42/K41, "NA")</f>
        <v>NA</v>
      </c>
      <c r="L43" s="41">
        <f>IF(LEFT('Review Information'!$C$8,1)="5",L42/L41, "NA")</f>
        <v>0</v>
      </c>
      <c r="M43" s="41" t="str">
        <f>IF(LEFT('Review Information'!$C$8,1)="6",M42/M41, "NA")</f>
        <v>NA</v>
      </c>
    </row>
    <row r="44" spans="1:13" ht="24" customHeight="1" x14ac:dyDescent="0.3">
      <c r="H44" s="11"/>
      <c r="I44" s="11"/>
      <c r="J44" s="11"/>
      <c r="K44" s="11"/>
    </row>
    <row r="45" spans="1:13" x14ac:dyDescent="0.3">
      <c r="A45" s="258" t="str">
        <f>About!A1</f>
        <v>Urban Forest Sustainability and Management Review (v6.6a Austin)</v>
      </c>
      <c r="B45" s="259"/>
      <c r="C45" s="259"/>
      <c r="D45" s="259"/>
      <c r="E45" s="259"/>
      <c r="F45" s="302"/>
      <c r="G45" s="302"/>
      <c r="H45" s="302"/>
      <c r="I45" s="302"/>
      <c r="J45" s="302"/>
      <c r="K45" s="302"/>
      <c r="L45" s="302"/>
      <c r="M45" s="302"/>
    </row>
    <row r="46" spans="1:13" x14ac:dyDescent="0.3">
      <c r="A46" s="259"/>
      <c r="B46" s="259"/>
      <c r="C46" s="259"/>
      <c r="D46" s="259"/>
      <c r="E46" s="259"/>
      <c r="F46" s="302"/>
      <c r="G46" s="302"/>
      <c r="H46" s="302"/>
      <c r="I46" s="302"/>
      <c r="J46" s="302"/>
      <c r="K46" s="302"/>
      <c r="L46" s="302"/>
      <c r="M46" s="302"/>
    </row>
  </sheetData>
  <sheetProtection selectLockedCells="1"/>
  <mergeCells count="18">
    <mergeCell ref="B37:E37"/>
    <mergeCell ref="B39:E39"/>
    <mergeCell ref="B40:E40"/>
    <mergeCell ref="B32:E32"/>
    <mergeCell ref="B33:E33"/>
    <mergeCell ref="B34:E34"/>
    <mergeCell ref="B35:E35"/>
    <mergeCell ref="B36:E36"/>
    <mergeCell ref="A1:E2"/>
    <mergeCell ref="F1:M2"/>
    <mergeCell ref="B29:E29"/>
    <mergeCell ref="B30:E30"/>
    <mergeCell ref="B31:E31"/>
    <mergeCell ref="B41:E41"/>
    <mergeCell ref="B42:E42"/>
    <mergeCell ref="B43:E43"/>
    <mergeCell ref="A45:E46"/>
    <mergeCell ref="F45:M46"/>
  </mergeCells>
  <dataValidations count="1">
    <dataValidation type="list" allowBlank="1" showInputMessage="1" showErrorMessage="1" errorTitle="Evaluation" error="You must select from the dropdown list!" promptTitle="Evaluation" prompt="Select the most appropriate management or current activity." sqref="E12:E25">
      <formula1>Evaluate</formula1>
    </dataValidation>
  </dataValidations>
  <hyperlinks>
    <hyperlink ref="M4" location="'TOC - Quick Access'!A1" display="Return to TOC"/>
    <hyperlink ref="D25" r:id="rId1" display="http://www.urbanforestrysouth.org/resources/management-plans/city-of-tampa-urban-forest-management-plan/"/>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41"/>
  <sheetViews>
    <sheetView zoomScale="75" zoomScaleNormal="75" workbookViewId="0">
      <selection sqref="A1:E2"/>
    </sheetView>
  </sheetViews>
  <sheetFormatPr defaultColWidth="9.109375" defaultRowHeight="14.4" x14ac:dyDescent="0.3"/>
  <cols>
    <col min="1" max="1" width="11.109375" style="5" customWidth="1"/>
    <col min="2" max="2" width="36.109375" style="5" customWidth="1"/>
    <col min="3" max="3" width="54.88671875" style="5" customWidth="1"/>
    <col min="4" max="4" width="27.6640625" style="5" customWidth="1"/>
    <col min="5" max="5" width="39.88671875" style="5" customWidth="1"/>
    <col min="6" max="6" width="3.44140625" style="5" customWidth="1"/>
    <col min="7" max="7" width="29" style="5" customWidth="1"/>
    <col min="8" max="8" width="9.88671875" style="5" customWidth="1"/>
    <col min="9" max="9" width="7.88671875" style="5" customWidth="1"/>
    <col min="10" max="11" width="7.44140625" style="5" customWidth="1"/>
    <col min="12" max="12" width="9.88671875" style="5" customWidth="1"/>
    <col min="13" max="13" width="11.6640625" style="5" customWidth="1"/>
    <col min="14" max="16384" width="9.109375" style="5"/>
  </cols>
  <sheetData>
    <row r="1" spans="1:13" x14ac:dyDescent="0.3">
      <c r="A1" s="256" t="str">
        <f>About!A1</f>
        <v>Urban Forest Sustainability and Management Review (v6.6a Austin)</v>
      </c>
      <c r="B1" s="257"/>
      <c r="C1" s="257"/>
      <c r="D1" s="257"/>
      <c r="E1" s="257"/>
      <c r="F1" s="302"/>
      <c r="G1" s="302"/>
      <c r="H1" s="302"/>
      <c r="I1" s="302"/>
      <c r="J1" s="302"/>
      <c r="K1" s="302"/>
      <c r="L1" s="302"/>
      <c r="M1" s="302"/>
    </row>
    <row r="2" spans="1:13" x14ac:dyDescent="0.3">
      <c r="A2" s="257"/>
      <c r="B2" s="257"/>
      <c r="C2" s="257"/>
      <c r="D2" s="257"/>
      <c r="E2" s="257"/>
      <c r="F2" s="302"/>
      <c r="G2" s="302"/>
      <c r="H2" s="302"/>
      <c r="I2" s="302"/>
      <c r="J2" s="302"/>
      <c r="K2" s="302"/>
      <c r="L2" s="302"/>
      <c r="M2" s="302"/>
    </row>
    <row r="3" spans="1:13" x14ac:dyDescent="0.3">
      <c r="C3" s="9"/>
      <c r="D3" s="10"/>
      <c r="H3" s="11"/>
      <c r="I3" s="11"/>
      <c r="J3" s="11"/>
      <c r="K3" s="11"/>
    </row>
    <row r="4" spans="1:13" ht="24" customHeight="1" x14ac:dyDescent="0.3">
      <c r="A4" s="68"/>
      <c r="B4" s="69" t="s">
        <v>31</v>
      </c>
      <c r="C4" s="71" t="str">
        <f>'Review Information'!C6</f>
        <v xml:space="preserve">&lt; enter the name of the city or college &gt; </v>
      </c>
      <c r="D4" s="69" t="s">
        <v>30</v>
      </c>
      <c r="E4" s="71" t="str">
        <f>'Review Information'!E6</f>
        <v>&lt; enter arborist here &gt;</v>
      </c>
      <c r="H4" s="11"/>
      <c r="I4" s="11"/>
      <c r="J4" s="11"/>
      <c r="K4" s="11"/>
      <c r="L4" s="11"/>
      <c r="M4" s="46" t="s">
        <v>115</v>
      </c>
    </row>
    <row r="5" spans="1:13" ht="24" customHeight="1" x14ac:dyDescent="0.3">
      <c r="A5" s="68"/>
      <c r="B5" s="69" t="s">
        <v>0</v>
      </c>
      <c r="C5" s="71" t="str">
        <f>'Review Information'!C7</f>
        <v>&lt; enter the team leaders name here &gt;</v>
      </c>
      <c r="D5" s="69" t="s">
        <v>29</v>
      </c>
      <c r="E5" s="73">
        <f>'Review Information'!E7</f>
        <v>42625</v>
      </c>
      <c r="H5" s="11"/>
      <c r="I5" s="11"/>
      <c r="J5" s="11"/>
      <c r="K5" s="11"/>
    </row>
    <row r="6" spans="1:13" ht="24" customHeight="1" x14ac:dyDescent="0.3">
      <c r="A6" s="68"/>
      <c r="B6" s="69" t="s">
        <v>32</v>
      </c>
      <c r="C6" s="71" t="str">
        <f>'Review Information'!C8</f>
        <v>5) Municipality</v>
      </c>
      <c r="D6" s="69"/>
      <c r="E6" s="73"/>
      <c r="H6" s="11"/>
      <c r="I6" s="11"/>
      <c r="J6" s="11"/>
      <c r="K6" s="11"/>
    </row>
    <row r="7" spans="1:13" x14ac:dyDescent="0.3">
      <c r="C7" s="9"/>
      <c r="D7" s="10"/>
      <c r="H7" s="11"/>
      <c r="I7" s="11"/>
      <c r="J7" s="11"/>
      <c r="K7" s="11"/>
    </row>
    <row r="8" spans="1:13" ht="24" customHeight="1" x14ac:dyDescent="0.3">
      <c r="A8" s="13">
        <v>7</v>
      </c>
      <c r="B8" s="66" t="s">
        <v>9</v>
      </c>
      <c r="H8" s="11"/>
      <c r="I8" s="11"/>
      <c r="J8" s="11"/>
      <c r="K8" s="11"/>
    </row>
    <row r="9" spans="1:13" ht="24" customHeight="1" x14ac:dyDescent="0.3">
      <c r="A9" s="14"/>
      <c r="H9" s="15" t="s">
        <v>106</v>
      </c>
      <c r="I9" s="16"/>
      <c r="J9" s="16"/>
      <c r="K9" s="16"/>
      <c r="L9" s="17"/>
      <c r="M9" s="17"/>
    </row>
    <row r="10" spans="1:13" ht="24" customHeight="1" x14ac:dyDescent="0.3">
      <c r="A10" s="103" t="s">
        <v>66</v>
      </c>
      <c r="B10" s="101" t="s">
        <v>67</v>
      </c>
      <c r="C10" s="105" t="s">
        <v>1</v>
      </c>
      <c r="D10" s="105" t="s">
        <v>2</v>
      </c>
      <c r="E10" s="110" t="s">
        <v>3</v>
      </c>
      <c r="F10" s="7"/>
      <c r="G10" s="7"/>
      <c r="H10" s="20" t="s">
        <v>58</v>
      </c>
      <c r="I10" s="20" t="s">
        <v>109</v>
      </c>
      <c r="J10" s="20" t="s">
        <v>63</v>
      </c>
      <c r="K10" s="20" t="s">
        <v>57</v>
      </c>
      <c r="L10" s="20" t="s">
        <v>56</v>
      </c>
      <c r="M10" s="20" t="s">
        <v>110</v>
      </c>
    </row>
    <row r="11" spans="1:13" ht="24" customHeight="1" thickBot="1" x14ac:dyDescent="0.35">
      <c r="A11" s="21">
        <f>A8</f>
        <v>7</v>
      </c>
      <c r="B11" s="22" t="s">
        <v>242</v>
      </c>
      <c r="C11" s="22"/>
      <c r="D11" s="23"/>
      <c r="E11" s="24"/>
      <c r="H11" s="11"/>
      <c r="I11" s="11"/>
      <c r="J11" s="11"/>
      <c r="K11" s="11"/>
    </row>
    <row r="12" spans="1:13" ht="24" customHeight="1" thickTop="1" thickBot="1" x14ac:dyDescent="0.35">
      <c r="A12" s="21">
        <f>$A$8 + (ROW()-11)/100</f>
        <v>7.01</v>
      </c>
      <c r="B12" s="33" t="s">
        <v>224</v>
      </c>
      <c r="C12" s="33" t="s">
        <v>225</v>
      </c>
      <c r="D12" s="33" t="s">
        <v>226</v>
      </c>
      <c r="E12" s="49" t="s">
        <v>37</v>
      </c>
      <c r="H12" s="6">
        <v>0</v>
      </c>
      <c r="I12" s="6">
        <v>0</v>
      </c>
      <c r="J12" s="6">
        <v>0</v>
      </c>
      <c r="K12" s="6">
        <v>0</v>
      </c>
      <c r="L12" s="6">
        <v>1</v>
      </c>
      <c r="M12" s="6">
        <v>0</v>
      </c>
    </row>
    <row r="13" spans="1:13" ht="36" customHeight="1" thickTop="1" thickBot="1" x14ac:dyDescent="0.35">
      <c r="A13" s="21">
        <f t="shared" ref="A13:A20" si="0">$A$8 + (ROW()-11)/100</f>
        <v>7.02</v>
      </c>
      <c r="B13" s="33" t="s">
        <v>227</v>
      </c>
      <c r="C13" s="33" t="s">
        <v>228</v>
      </c>
      <c r="D13" s="33" t="s">
        <v>226</v>
      </c>
      <c r="E13" s="49" t="s">
        <v>37</v>
      </c>
      <c r="H13" s="6">
        <v>0</v>
      </c>
      <c r="I13" s="6">
        <v>0</v>
      </c>
      <c r="J13" s="6">
        <v>0</v>
      </c>
      <c r="K13" s="6">
        <v>0</v>
      </c>
      <c r="L13" s="6">
        <v>1</v>
      </c>
      <c r="M13" s="6">
        <v>0</v>
      </c>
    </row>
    <row r="14" spans="1:13" ht="48" customHeight="1" thickTop="1" thickBot="1" x14ac:dyDescent="0.35">
      <c r="A14" s="21">
        <f t="shared" si="0"/>
        <v>7.03</v>
      </c>
      <c r="B14" s="33" t="s">
        <v>229</v>
      </c>
      <c r="C14" s="33" t="s">
        <v>230</v>
      </c>
      <c r="D14" s="33" t="s">
        <v>226</v>
      </c>
      <c r="E14" s="49" t="s">
        <v>37</v>
      </c>
      <c r="H14" s="6">
        <v>0</v>
      </c>
      <c r="I14" s="6">
        <v>0</v>
      </c>
      <c r="J14" s="6">
        <v>0</v>
      </c>
      <c r="K14" s="6">
        <v>0</v>
      </c>
      <c r="L14" s="6">
        <v>1</v>
      </c>
      <c r="M14" s="6">
        <v>0</v>
      </c>
    </row>
    <row r="15" spans="1:13" ht="36" customHeight="1" thickTop="1" thickBot="1" x14ac:dyDescent="0.35">
      <c r="A15" s="21">
        <f t="shared" si="0"/>
        <v>7.04</v>
      </c>
      <c r="B15" s="22" t="s">
        <v>231</v>
      </c>
      <c r="C15" s="22" t="s">
        <v>232</v>
      </c>
      <c r="D15" s="22"/>
      <c r="E15" s="49" t="s">
        <v>37</v>
      </c>
      <c r="H15" s="6">
        <v>0</v>
      </c>
      <c r="I15" s="6">
        <v>0</v>
      </c>
      <c r="J15" s="6">
        <v>0</v>
      </c>
      <c r="K15" s="6">
        <v>0</v>
      </c>
      <c r="L15" s="6">
        <v>1</v>
      </c>
      <c r="M15" s="6">
        <v>0</v>
      </c>
    </row>
    <row r="16" spans="1:13" ht="60" customHeight="1" thickTop="1" thickBot="1" x14ac:dyDescent="0.35">
      <c r="A16" s="21">
        <f t="shared" si="0"/>
        <v>7.05</v>
      </c>
      <c r="B16" s="33" t="s">
        <v>233</v>
      </c>
      <c r="C16" s="33" t="s">
        <v>234</v>
      </c>
      <c r="D16" s="33" t="s">
        <v>226</v>
      </c>
      <c r="E16" s="3" t="s">
        <v>37</v>
      </c>
      <c r="H16" s="6">
        <v>0</v>
      </c>
      <c r="I16" s="6">
        <v>0</v>
      </c>
      <c r="J16" s="6">
        <v>0</v>
      </c>
      <c r="K16" s="6">
        <v>0</v>
      </c>
      <c r="L16" s="6">
        <v>1</v>
      </c>
      <c r="M16" s="6">
        <v>0</v>
      </c>
    </row>
    <row r="17" spans="1:13" ht="36" customHeight="1" thickTop="1" thickBot="1" x14ac:dyDescent="0.35">
      <c r="A17" s="21">
        <f t="shared" si="0"/>
        <v>7.06</v>
      </c>
      <c r="B17" s="33" t="s">
        <v>235</v>
      </c>
      <c r="C17" s="33" t="s">
        <v>236</v>
      </c>
      <c r="D17" s="33"/>
      <c r="E17" s="49" t="s">
        <v>37</v>
      </c>
      <c r="H17" s="6">
        <v>0</v>
      </c>
      <c r="I17" s="6">
        <v>0</v>
      </c>
      <c r="J17" s="6">
        <v>0</v>
      </c>
      <c r="K17" s="6">
        <v>0</v>
      </c>
      <c r="L17" s="6">
        <v>1</v>
      </c>
      <c r="M17" s="6">
        <v>0</v>
      </c>
    </row>
    <row r="18" spans="1:13" ht="60" customHeight="1" thickTop="1" thickBot="1" x14ac:dyDescent="0.35">
      <c r="A18" s="21">
        <f t="shared" si="0"/>
        <v>7.07</v>
      </c>
      <c r="B18" s="33" t="s">
        <v>237</v>
      </c>
      <c r="C18" s="33" t="s">
        <v>238</v>
      </c>
      <c r="D18" s="33" t="s">
        <v>226</v>
      </c>
      <c r="E18" s="3" t="s">
        <v>37</v>
      </c>
      <c r="H18" s="6">
        <v>0</v>
      </c>
      <c r="I18" s="6">
        <v>0</v>
      </c>
      <c r="J18" s="6">
        <v>0</v>
      </c>
      <c r="K18" s="6">
        <v>0</v>
      </c>
      <c r="L18" s="6">
        <v>1</v>
      </c>
      <c r="M18" s="6">
        <v>0</v>
      </c>
    </row>
    <row r="19" spans="1:13" ht="36" customHeight="1" thickTop="1" thickBot="1" x14ac:dyDescent="0.35">
      <c r="A19" s="21">
        <f t="shared" si="0"/>
        <v>7.08</v>
      </c>
      <c r="B19" s="54" t="s">
        <v>239</v>
      </c>
      <c r="C19" s="54" t="s">
        <v>240</v>
      </c>
      <c r="D19" s="54" t="s">
        <v>241</v>
      </c>
      <c r="E19" s="3" t="s">
        <v>37</v>
      </c>
      <c r="H19" s="6">
        <v>0</v>
      </c>
      <c r="I19" s="6">
        <v>0</v>
      </c>
      <c r="J19" s="6">
        <v>0</v>
      </c>
      <c r="K19" s="6">
        <v>0</v>
      </c>
      <c r="L19" s="6">
        <v>1</v>
      </c>
      <c r="M19" s="6">
        <v>0</v>
      </c>
    </row>
    <row r="20" spans="1:13" ht="36" customHeight="1" thickTop="1" thickBot="1" x14ac:dyDescent="0.35">
      <c r="A20" s="21">
        <f t="shared" si="0"/>
        <v>7.09</v>
      </c>
      <c r="B20" s="247" t="s">
        <v>477</v>
      </c>
      <c r="C20" s="247" t="s">
        <v>478</v>
      </c>
      <c r="D20" s="247"/>
      <c r="E20" s="3" t="s">
        <v>37</v>
      </c>
      <c r="H20" s="6">
        <v>0</v>
      </c>
      <c r="I20" s="6">
        <v>0</v>
      </c>
      <c r="J20" s="6">
        <v>0</v>
      </c>
      <c r="K20" s="6">
        <v>0</v>
      </c>
      <c r="L20" s="6">
        <v>1</v>
      </c>
      <c r="M20" s="6">
        <v>0</v>
      </c>
    </row>
    <row r="21" spans="1:13" ht="24" customHeight="1" thickTop="1" x14ac:dyDescent="0.3">
      <c r="H21" s="11"/>
      <c r="I21" s="11"/>
      <c r="J21" s="11"/>
      <c r="K21" s="11"/>
    </row>
    <row r="22" spans="1:13" ht="24" customHeight="1" x14ac:dyDescent="0.35">
      <c r="B22" s="188" t="str">
        <f xml:space="preserve"> "Review Team Notes: " &amp; B8</f>
        <v>Review Team Notes: Risk Management</v>
      </c>
      <c r="F22" s="25"/>
      <c r="G22" s="26" t="s">
        <v>223</v>
      </c>
      <c r="H22" s="40">
        <f t="shared" ref="H22:M22" si="1">SUM(H12:H19)</f>
        <v>0</v>
      </c>
      <c r="I22" s="40">
        <f t="shared" si="1"/>
        <v>0</v>
      </c>
      <c r="J22" s="40">
        <f t="shared" si="1"/>
        <v>0</v>
      </c>
      <c r="K22" s="40">
        <f t="shared" si="1"/>
        <v>0</v>
      </c>
      <c r="L22" s="40">
        <f>SUM(L12:L20)</f>
        <v>9</v>
      </c>
      <c r="M22" s="40">
        <f t="shared" si="1"/>
        <v>0</v>
      </c>
    </row>
    <row r="23" spans="1:13" ht="24" customHeight="1" x14ac:dyDescent="0.3">
      <c r="F23" s="27"/>
      <c r="G23" s="26" t="s">
        <v>99</v>
      </c>
      <c r="H23" s="40">
        <f>H22 * LEFT('Review Information'!$C$9,1)</f>
        <v>0</v>
      </c>
      <c r="I23" s="40">
        <f>I22 * LEFT('Review Information'!$C$9,1)</f>
        <v>0</v>
      </c>
      <c r="J23" s="40">
        <f>J22 * LEFT('Review Information'!$C$9,1)</f>
        <v>0</v>
      </c>
      <c r="K23" s="40">
        <f>K22 * LEFT('Review Information'!$C$9,1)</f>
        <v>0</v>
      </c>
      <c r="L23" s="40">
        <f>L22 * LEFT('Review Information'!$C$9,1)</f>
        <v>18</v>
      </c>
      <c r="M23" s="40">
        <f>M22 * LEFT('Review Information'!$C$9,1)</f>
        <v>0</v>
      </c>
    </row>
    <row r="24" spans="1:13" ht="24" customHeight="1" x14ac:dyDescent="0.3">
      <c r="B24" s="299" t="s">
        <v>413</v>
      </c>
      <c r="C24" s="300"/>
      <c r="D24" s="300"/>
      <c r="E24" s="301"/>
      <c r="F24" s="27"/>
      <c r="G24" s="26" t="s">
        <v>100</v>
      </c>
      <c r="H24" s="18" t="str">
        <f>IF(LEFT('Review Information'!$C$8,1)="1",SUM(LEFT($E$12,1), LEFT($E$13,1),LEFT($E$14,1),LEFT($E$15,1),LEFT($E$16,1),LEFT($E$17,1),LEFT($E$18,1),LEFT($E$19,1)),"NA")</f>
        <v>NA</v>
      </c>
      <c r="I24" s="18" t="str">
        <f>IF(LEFT('Review Information'!$C$8,1)="2",SUM(LEFT($E$12,1), LEFT($E$13,1),LEFT($E$14,1),LEFT($E$15,1),LEFT($E$16,1),LEFT($E$17,1),LEFT($E$18,1),LEFT($E$19,1)),"NA")</f>
        <v>NA</v>
      </c>
      <c r="J24" s="18" t="str">
        <f>IF(LEFT('Review Information'!$C$8,1)="3",SUM(LEFT($E$12,1), LEFT($E$13,1),LEFT($E$14,1),LEFT($E$15,1),LEFT($E$16,1),LEFT($E$17,1),LEFT($E$18,1),LEFT($E$19,1)),"NA")</f>
        <v>NA</v>
      </c>
      <c r="K24" s="18" t="str">
        <f>IF(LEFT('Review Information'!$C$8,1)="4",SUM(LEFT($E$12,1), LEFT($E$13,1),LEFT($E$14,1),LEFT($E$15,1),LEFT($E$16,1),LEFT($E$17,1),LEFT($E$18,1),LEFT($E$19,1)),"NA")</f>
        <v>NA</v>
      </c>
      <c r="L24" s="18">
        <f>IF(LEFT('Review Information'!$C$8,1)="5",SUM(LEFT($E$12,1), LEFT($E$13,1),LEFT($E$14,1),LEFT($E$15,1),LEFT($E$16,1),LEFT($E$17,1),LEFT($E$18,1),LEFT($E$19,1)),"NA")</f>
        <v>0</v>
      </c>
      <c r="M24" s="18" t="str">
        <f>IF(LEFT('Review Information'!$C$8,1)="6",SUM(LEFT($E$12,1), LEFT($E$13,1),LEFT($E$14,1),LEFT($E$15,1),LEFT($E$16,1),LEFT($E$17,1),LEFT($E$18,1),LEFT($E$19,1)),"NA")</f>
        <v>NA</v>
      </c>
    </row>
    <row r="25" spans="1:13" ht="24" customHeight="1" x14ac:dyDescent="0.3">
      <c r="B25" s="278"/>
      <c r="C25" s="279"/>
      <c r="D25" s="279"/>
      <c r="E25" s="280"/>
      <c r="F25" s="27"/>
      <c r="G25" s="26" t="s">
        <v>105</v>
      </c>
      <c r="H25" s="41" t="str">
        <f>IF(LEFT('Review Information'!$C$8,1)="1",H$24/H$23,"NA")</f>
        <v>NA</v>
      </c>
      <c r="I25" s="41" t="str">
        <f>IF(LEFT('Review Information'!$C$8,1)="2",I$24/I$23,"NA")</f>
        <v>NA</v>
      </c>
      <c r="J25" s="41" t="str">
        <f>IF(LEFT('Review Information'!$C$8,1)="3",J$24/J$23,"NA")</f>
        <v>NA</v>
      </c>
      <c r="K25" s="41" t="str">
        <f>IF(LEFT('Review Information'!$C$8,1)="4",K$24/K$23,"NA")</f>
        <v>NA</v>
      </c>
      <c r="L25" s="41">
        <f>IF(LEFT('Review Information'!$C$8,1)="5",L$24/L$23,"NA")</f>
        <v>0</v>
      </c>
      <c r="M25" s="41" t="str">
        <f>IF(LEFT('Review Information'!$C$8,1)="6",M$24/M$23,"NA")</f>
        <v>NA</v>
      </c>
    </row>
    <row r="26" spans="1:13" ht="24" customHeight="1" x14ac:dyDescent="0.3">
      <c r="B26" s="278"/>
      <c r="C26" s="279"/>
      <c r="D26" s="279"/>
      <c r="E26" s="280"/>
      <c r="H26" s="11"/>
      <c r="I26" s="11"/>
      <c r="J26" s="11"/>
      <c r="K26" s="11"/>
    </row>
    <row r="27" spans="1:13" ht="24" customHeight="1" x14ac:dyDescent="0.3">
      <c r="B27" s="278"/>
      <c r="C27" s="279"/>
      <c r="D27" s="279"/>
      <c r="E27" s="280"/>
      <c r="H27" s="11"/>
      <c r="I27" s="11"/>
      <c r="J27" s="11"/>
      <c r="K27" s="11"/>
    </row>
    <row r="28" spans="1:13" ht="24" customHeight="1" x14ac:dyDescent="0.3">
      <c r="B28" s="278"/>
      <c r="C28" s="279"/>
      <c r="D28" s="279"/>
      <c r="E28" s="280"/>
      <c r="H28" s="15" t="s">
        <v>107</v>
      </c>
      <c r="I28" s="16"/>
      <c r="J28" s="16"/>
      <c r="K28" s="16"/>
      <c r="L28" s="17"/>
      <c r="M28" s="17"/>
    </row>
    <row r="29" spans="1:13" ht="24" customHeight="1" x14ac:dyDescent="0.3">
      <c r="B29" s="278"/>
      <c r="C29" s="279"/>
      <c r="D29" s="279"/>
      <c r="E29" s="280"/>
      <c r="G29" s="77" t="s">
        <v>102</v>
      </c>
      <c r="H29" s="125">
        <v>6</v>
      </c>
      <c r="I29" s="125">
        <v>6</v>
      </c>
      <c r="J29" s="125">
        <v>6</v>
      </c>
      <c r="K29" s="125">
        <v>6</v>
      </c>
      <c r="L29" s="125">
        <v>6</v>
      </c>
      <c r="M29" s="125">
        <v>6</v>
      </c>
    </row>
    <row r="30" spans="1:13" ht="24" customHeight="1" x14ac:dyDescent="0.3">
      <c r="B30" s="278"/>
      <c r="C30" s="279"/>
      <c r="D30" s="279"/>
      <c r="E30" s="280"/>
      <c r="G30" s="77" t="s">
        <v>103</v>
      </c>
      <c r="H30" s="40">
        <f>H29 * LEFT('Review Information'!$C$9,1)</f>
        <v>12</v>
      </c>
      <c r="I30" s="40">
        <f>I29 * LEFT('Review Information'!$C$9,1)</f>
        <v>12</v>
      </c>
      <c r="J30" s="40">
        <f>J29 * LEFT('Review Information'!$C$9,1)</f>
        <v>12</v>
      </c>
      <c r="K30" s="40">
        <f>K29 * LEFT('Review Information'!$C$9,1)</f>
        <v>12</v>
      </c>
      <c r="L30" s="40">
        <f>L29 * LEFT('Review Information'!$C$9,1)</f>
        <v>12</v>
      </c>
      <c r="M30" s="40">
        <f>M29 * LEFT('Review Information'!$C$9,1)</f>
        <v>12</v>
      </c>
    </row>
    <row r="31" spans="1:13" ht="24" customHeight="1" x14ac:dyDescent="0.3">
      <c r="B31" s="278"/>
      <c r="C31" s="279"/>
      <c r="D31" s="279"/>
      <c r="E31" s="280"/>
      <c r="G31" s="77" t="s">
        <v>73</v>
      </c>
      <c r="H31" s="42" t="str">
        <f>IF(LEFT('Review Information'!$C$8,1)="1",SUM(LEFT($E$12,1),LEFT($E$13,1),LEFT($E$14,1),LEFT($E$16,1),LEFT($E$17,1),LEFT($E$18,1)),"NA")</f>
        <v>NA</v>
      </c>
      <c r="I31" s="42" t="str">
        <f>IF(LEFT('Review Information'!$C$8,1)="2",SUM(LEFT($E$12,1),LEFT($E$13,1),LEFT($E$14,1),LEFT($E$16,1),LEFT($E$17,1),LEFT($E$18,1)),"NA")</f>
        <v>NA</v>
      </c>
      <c r="J31" s="42" t="str">
        <f>IF(LEFT('Review Information'!$C$8,1)="3",SUM(LEFT($E$12,1),LEFT($E$13,1),LEFT($E$14,1),LEFT($E$16,1),LEFT($E$17,1),LEFT($E$18,1)),"NA")</f>
        <v>NA</v>
      </c>
      <c r="K31" s="42" t="str">
        <f>IF(LEFT('Review Information'!$C$8,1)="4",SUM(LEFT($E$12,1),LEFT($E$13,1),LEFT($E$14,1),LEFT($E$16,1),LEFT($E$17,1),LEFT($E$18,1)),"NA")</f>
        <v>NA</v>
      </c>
      <c r="L31" s="42">
        <f>IF(LEFT('Review Information'!$C$8,1)="5",SUM(LEFT($E$12,1),LEFT($E$13,1),LEFT($E$14,1),LEFT($E$16,1),LEFT($E$17,1),LEFT($E$18,1)),"NA")</f>
        <v>0</v>
      </c>
      <c r="M31" s="42" t="str">
        <f>IF(LEFT('Review Information'!$C$8,1)="6",SUM(LEFT($E$12,1),LEFT($E$13,1),LEFT($E$14,1),LEFT($E$16,1),LEFT($E$17,1),LEFT($E$18,1)),"NA")</f>
        <v>NA</v>
      </c>
    </row>
    <row r="32" spans="1:13" ht="24" customHeight="1" x14ac:dyDescent="0.3">
      <c r="B32" s="281"/>
      <c r="C32" s="282"/>
      <c r="D32" s="282"/>
      <c r="E32" s="283"/>
      <c r="G32" s="77" t="s">
        <v>197</v>
      </c>
      <c r="H32" s="41" t="str">
        <f>IF(LEFT('Review Information'!$C$8,1)="1",H31/H30, "NA")</f>
        <v>NA</v>
      </c>
      <c r="I32" s="41" t="str">
        <f>IF(LEFT('Review Information'!$C$8,1)="2",I31/I30, "NA")</f>
        <v>NA</v>
      </c>
      <c r="J32" s="41" t="str">
        <f>IF(LEFT('Review Information'!$C$8,1)="3",J31/J30, "NA")</f>
        <v>NA</v>
      </c>
      <c r="K32" s="41" t="str">
        <f>IF(LEFT('Review Information'!$C$8,1)="4",K31/K30, "NA")</f>
        <v>NA</v>
      </c>
      <c r="L32" s="41">
        <f>IF(LEFT('Review Information'!$C$8,1)="5",L31/L30, "NA")</f>
        <v>0</v>
      </c>
      <c r="M32" s="41" t="str">
        <f>IF(LEFT('Review Information'!$C$8,1)="6",M31/M30, "NA")</f>
        <v>NA</v>
      </c>
    </row>
    <row r="33" spans="1:13" ht="24" customHeight="1" x14ac:dyDescent="0.3">
      <c r="G33" s="26"/>
      <c r="H33" s="41"/>
      <c r="I33" s="41"/>
      <c r="J33" s="41"/>
      <c r="K33" s="41"/>
      <c r="L33" s="41"/>
      <c r="M33" s="41"/>
    </row>
    <row r="34" spans="1:13" ht="24" customHeight="1" x14ac:dyDescent="0.3">
      <c r="B34" s="293" t="s">
        <v>36</v>
      </c>
      <c r="C34" s="294"/>
      <c r="D34" s="294"/>
      <c r="E34" s="295"/>
      <c r="H34" s="15" t="s">
        <v>108</v>
      </c>
      <c r="I34" s="43"/>
      <c r="J34" s="43"/>
      <c r="K34" s="43"/>
      <c r="L34" s="43"/>
      <c r="M34" s="43"/>
    </row>
    <row r="35" spans="1:13" ht="54" customHeight="1" x14ac:dyDescent="0.3">
      <c r="B35" s="284" t="s">
        <v>400</v>
      </c>
      <c r="C35" s="285"/>
      <c r="D35" s="285"/>
      <c r="E35" s="286"/>
      <c r="G35" s="78" t="s">
        <v>101</v>
      </c>
      <c r="H35" s="133">
        <v>1</v>
      </c>
      <c r="I35" s="133">
        <v>1</v>
      </c>
      <c r="J35" s="133">
        <v>1</v>
      </c>
      <c r="K35" s="133">
        <v>1</v>
      </c>
      <c r="L35" s="133">
        <v>1</v>
      </c>
      <c r="M35" s="133">
        <v>1</v>
      </c>
    </row>
    <row r="36" spans="1:13" ht="38.25" customHeight="1" x14ac:dyDescent="0.3">
      <c r="B36" s="296" t="s">
        <v>401</v>
      </c>
      <c r="C36" s="297"/>
      <c r="D36" s="297"/>
      <c r="E36" s="298"/>
      <c r="G36" s="78" t="s">
        <v>104</v>
      </c>
      <c r="H36" s="40">
        <f>H35 * LEFT('Review Information'!$C$9,1)</f>
        <v>2</v>
      </c>
      <c r="I36" s="40">
        <f>I35 * LEFT('Review Information'!$C$9,1)</f>
        <v>2</v>
      </c>
      <c r="J36" s="40">
        <f>J35 * LEFT('Review Information'!$C$9,1)</f>
        <v>2</v>
      </c>
      <c r="K36" s="40">
        <f>K35 * LEFT('Review Information'!$C$9,1)</f>
        <v>2</v>
      </c>
      <c r="L36" s="40">
        <f>L35 * LEFT('Review Information'!$C$9,1)</f>
        <v>2</v>
      </c>
      <c r="M36" s="40">
        <f>M35 * LEFT('Review Information'!$C$9,1)</f>
        <v>2</v>
      </c>
    </row>
    <row r="37" spans="1:13" ht="33" customHeight="1" x14ac:dyDescent="0.3">
      <c r="B37" s="287" t="s">
        <v>74</v>
      </c>
      <c r="C37" s="288"/>
      <c r="D37" s="288"/>
      <c r="E37" s="289"/>
      <c r="G37" s="78" t="s">
        <v>75</v>
      </c>
      <c r="H37" s="42" t="str">
        <f>IF(LEFT('Review Information'!$C$8,1)="1",SUM(LEFT($E$19,1)),"NA")</f>
        <v>NA</v>
      </c>
      <c r="I37" s="42" t="str">
        <f>IF(LEFT('Review Information'!$C$8,1)="2",SUM(LEFT($E$19,1)),"NA")</f>
        <v>NA</v>
      </c>
      <c r="J37" s="42" t="str">
        <f>IF(LEFT('Review Information'!$C$8,1)="3",SUM(LEFT($E$19,1)),"NA")</f>
        <v>NA</v>
      </c>
      <c r="K37" s="42" t="str">
        <f>IF(LEFT('Review Information'!$C$8,1)="4",SUM(LEFT($E$19,1)),"NA")</f>
        <v>NA</v>
      </c>
      <c r="L37" s="42">
        <f>IF(LEFT('Review Information'!$C$8,1)="5",SUM(LEFT($E$19,1)),"NA")</f>
        <v>0</v>
      </c>
      <c r="M37" s="42" t="str">
        <f>IF(LEFT('Review Information'!$C$8,1)="6",SUM(LEFT($E$19,1)),"NA")</f>
        <v>NA</v>
      </c>
    </row>
    <row r="38" spans="1:13" ht="24" customHeight="1" x14ac:dyDescent="0.3">
      <c r="A38" s="114"/>
      <c r="B38" s="290" t="s">
        <v>45</v>
      </c>
      <c r="C38" s="291"/>
      <c r="D38" s="291"/>
      <c r="E38" s="292"/>
      <c r="G38" s="78" t="s">
        <v>198</v>
      </c>
      <c r="H38" s="41" t="str">
        <f>IF(LEFT('Review Information'!$C$8,1)="1",H37/H36, "NA")</f>
        <v>NA</v>
      </c>
      <c r="I38" s="41" t="str">
        <f>IF(LEFT('Review Information'!$C$8,1)="2",I37/I36, "NA")</f>
        <v>NA</v>
      </c>
      <c r="J38" s="41" t="str">
        <f>IF(LEFT('Review Information'!$C$8,1)="3",J37/J36, "NA")</f>
        <v>NA</v>
      </c>
      <c r="K38" s="41" t="str">
        <f>IF(LEFT('Review Information'!$C$8,1)="4",K37/K36, "NA")</f>
        <v>NA</v>
      </c>
      <c r="L38" s="41">
        <f>IF(LEFT('Review Information'!$C$8,1)="5",L37/L36, "NA")</f>
        <v>0</v>
      </c>
      <c r="M38" s="41" t="str">
        <f>IF(LEFT('Review Information'!$C$8,1)="6",M37/M36, "NA")</f>
        <v>NA</v>
      </c>
    </row>
    <row r="39" spans="1:13" ht="24" customHeight="1" x14ac:dyDescent="0.3">
      <c r="H39" s="11"/>
      <c r="I39" s="11"/>
      <c r="J39" s="11"/>
      <c r="K39" s="11"/>
    </row>
    <row r="40" spans="1:13" x14ac:dyDescent="0.3">
      <c r="A40" s="258" t="str">
        <f>About!A1</f>
        <v>Urban Forest Sustainability and Management Review (v6.6a Austin)</v>
      </c>
      <c r="B40" s="259"/>
      <c r="C40" s="259"/>
      <c r="D40" s="259"/>
      <c r="E40" s="259"/>
      <c r="F40" s="302"/>
      <c r="G40" s="302"/>
      <c r="H40" s="302"/>
      <c r="I40" s="302"/>
      <c r="J40" s="302"/>
      <c r="K40" s="302"/>
      <c r="L40" s="302"/>
      <c r="M40" s="302"/>
    </row>
    <row r="41" spans="1:13" x14ac:dyDescent="0.3">
      <c r="A41" s="259"/>
      <c r="B41" s="259"/>
      <c r="C41" s="259"/>
      <c r="D41" s="259"/>
      <c r="E41" s="259"/>
      <c r="F41" s="302"/>
      <c r="G41" s="302"/>
      <c r="H41" s="302"/>
      <c r="I41" s="302"/>
      <c r="J41" s="302"/>
      <c r="K41" s="302"/>
      <c r="L41" s="302"/>
      <c r="M41" s="302"/>
    </row>
  </sheetData>
  <sheetProtection selectLockedCells="1"/>
  <mergeCells count="18">
    <mergeCell ref="B32:E32"/>
    <mergeCell ref="B34:E34"/>
    <mergeCell ref="B35:E35"/>
    <mergeCell ref="B27:E27"/>
    <mergeCell ref="B28:E28"/>
    <mergeCell ref="B29:E29"/>
    <mergeCell ref="B30:E30"/>
    <mergeCell ref="B31:E31"/>
    <mergeCell ref="A1:E2"/>
    <mergeCell ref="F1:M2"/>
    <mergeCell ref="B24:E24"/>
    <mergeCell ref="B25:E25"/>
    <mergeCell ref="B26:E26"/>
    <mergeCell ref="B36:E36"/>
    <mergeCell ref="B37:E37"/>
    <mergeCell ref="B38:E38"/>
    <mergeCell ref="A40:E41"/>
    <mergeCell ref="F40:M41"/>
  </mergeCells>
  <dataValidations count="1">
    <dataValidation type="list" allowBlank="1" showInputMessage="1" showErrorMessage="1" errorTitle="Evaluation" error="You must select from the dropdown list!" promptTitle="Evaluation" prompt="Select the most appropriate management or current activity." sqref="E12:E20">
      <formula1>Evaluate</formula1>
    </dataValidation>
  </dataValidations>
  <hyperlinks>
    <hyperlink ref="M4" location="'TOC - Quick Access'!A1" display="Return to TOC"/>
    <hyperlink ref="D19" r:id="rId1" display="http://www.ufst.org/resources/library/urban-tree-risk-management/view"/>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39"/>
  <sheetViews>
    <sheetView zoomScale="75" zoomScaleNormal="75" workbookViewId="0">
      <selection sqref="A1:E2"/>
    </sheetView>
  </sheetViews>
  <sheetFormatPr defaultColWidth="9.109375" defaultRowHeight="14.4" x14ac:dyDescent="0.3"/>
  <cols>
    <col min="1" max="1" width="10.44140625" style="5" customWidth="1"/>
    <col min="2" max="2" width="36.109375" style="5" customWidth="1"/>
    <col min="3" max="3" width="54.88671875" style="5" customWidth="1"/>
    <col min="4" max="4" width="27.6640625" style="5" customWidth="1"/>
    <col min="5" max="5" width="39.88671875" style="5" customWidth="1"/>
    <col min="6" max="6" width="3.88671875" style="5" customWidth="1"/>
    <col min="7" max="7" width="28.88671875" style="5" customWidth="1"/>
    <col min="8" max="8" width="9.88671875" style="5" customWidth="1"/>
    <col min="9" max="9" width="7.88671875" style="5" customWidth="1"/>
    <col min="10" max="11" width="7.44140625" style="5" customWidth="1"/>
    <col min="12" max="12" width="9.88671875" style="5" customWidth="1"/>
    <col min="13" max="13" width="11.6640625" style="5" customWidth="1"/>
    <col min="14" max="16384" width="9.109375" style="5"/>
  </cols>
  <sheetData>
    <row r="1" spans="1:13" x14ac:dyDescent="0.3">
      <c r="A1" s="256" t="str">
        <f>About!A1</f>
        <v>Urban Forest Sustainability and Management Review (v6.6a Austin)</v>
      </c>
      <c r="B1" s="257"/>
      <c r="C1" s="257"/>
      <c r="D1" s="257"/>
      <c r="E1" s="257"/>
      <c r="F1" s="302"/>
      <c r="G1" s="302"/>
      <c r="H1" s="302"/>
      <c r="I1" s="302"/>
      <c r="J1" s="302"/>
      <c r="K1" s="302"/>
      <c r="L1" s="302"/>
      <c r="M1" s="302"/>
    </row>
    <row r="2" spans="1:13" x14ac:dyDescent="0.3">
      <c r="A2" s="257"/>
      <c r="B2" s="257"/>
      <c r="C2" s="257"/>
      <c r="D2" s="257"/>
      <c r="E2" s="257"/>
      <c r="F2" s="302"/>
      <c r="G2" s="302"/>
      <c r="H2" s="302"/>
      <c r="I2" s="302"/>
      <c r="J2" s="302"/>
      <c r="K2" s="302"/>
      <c r="L2" s="302"/>
      <c r="M2" s="302"/>
    </row>
    <row r="3" spans="1:13" x14ac:dyDescent="0.3">
      <c r="C3" s="9"/>
      <c r="D3" s="10"/>
      <c r="H3" s="11"/>
      <c r="I3" s="11"/>
      <c r="J3" s="11"/>
      <c r="K3" s="11"/>
    </row>
    <row r="4" spans="1:13" ht="24" customHeight="1" x14ac:dyDescent="0.3">
      <c r="A4" s="12"/>
      <c r="B4" s="69" t="s">
        <v>31</v>
      </c>
      <c r="C4" s="71" t="str">
        <f>'Review Information'!C6</f>
        <v xml:space="preserve">&lt; enter the name of the city or college &gt; </v>
      </c>
      <c r="D4" s="69" t="s">
        <v>30</v>
      </c>
      <c r="E4" s="71" t="str">
        <f>'Review Information'!E6</f>
        <v>&lt; enter arborist here &gt;</v>
      </c>
      <c r="H4" s="11"/>
      <c r="I4" s="11"/>
      <c r="J4" s="11"/>
      <c r="K4" s="11"/>
      <c r="L4" s="11"/>
      <c r="M4" s="46" t="s">
        <v>115</v>
      </c>
    </row>
    <row r="5" spans="1:13" ht="24" customHeight="1" x14ac:dyDescent="0.3">
      <c r="A5" s="12"/>
      <c r="B5" s="69" t="s">
        <v>0</v>
      </c>
      <c r="C5" s="71" t="str">
        <f>'Review Information'!C7</f>
        <v>&lt; enter the team leaders name here &gt;</v>
      </c>
      <c r="D5" s="69" t="s">
        <v>29</v>
      </c>
      <c r="E5" s="73">
        <f>'Review Information'!E7</f>
        <v>42625</v>
      </c>
      <c r="H5" s="11"/>
      <c r="I5" s="11"/>
      <c r="J5" s="11"/>
      <c r="K5" s="11"/>
    </row>
    <row r="6" spans="1:13" ht="24" customHeight="1" x14ac:dyDescent="0.3">
      <c r="A6" s="12"/>
      <c r="B6" s="69" t="s">
        <v>32</v>
      </c>
      <c r="C6" s="71" t="str">
        <f>'Review Information'!C8</f>
        <v>5) Municipality</v>
      </c>
      <c r="D6" s="69"/>
      <c r="E6" s="73"/>
      <c r="H6" s="11"/>
      <c r="I6" s="11"/>
      <c r="J6" s="11"/>
      <c r="K6" s="11"/>
    </row>
    <row r="7" spans="1:13" x14ac:dyDescent="0.3">
      <c r="C7" s="9"/>
      <c r="D7" s="10"/>
      <c r="H7" s="11"/>
      <c r="I7" s="11"/>
      <c r="J7" s="11"/>
      <c r="K7" s="11"/>
    </row>
    <row r="8" spans="1:13" ht="24" customHeight="1" x14ac:dyDescent="0.3">
      <c r="A8" s="13">
        <v>8</v>
      </c>
      <c r="B8" s="66" t="s">
        <v>87</v>
      </c>
      <c r="H8" s="11"/>
      <c r="I8" s="11"/>
      <c r="J8" s="11"/>
      <c r="K8" s="11"/>
    </row>
    <row r="9" spans="1:13" ht="24" customHeight="1" x14ac:dyDescent="0.3">
      <c r="A9" s="14"/>
      <c r="H9" s="15" t="s">
        <v>106</v>
      </c>
      <c r="I9" s="16"/>
      <c r="J9" s="16"/>
      <c r="K9" s="16"/>
      <c r="L9" s="17"/>
      <c r="M9" s="17"/>
    </row>
    <row r="10" spans="1:13" ht="24" customHeight="1" x14ac:dyDescent="0.3">
      <c r="A10" s="98" t="s">
        <v>66</v>
      </c>
      <c r="B10" s="101" t="s">
        <v>67</v>
      </c>
      <c r="C10" s="101" t="s">
        <v>1</v>
      </c>
      <c r="D10" s="101" t="s">
        <v>2</v>
      </c>
      <c r="E10" s="110" t="s">
        <v>3</v>
      </c>
      <c r="F10" s="7"/>
      <c r="G10" s="7"/>
      <c r="H10" s="20" t="s">
        <v>58</v>
      </c>
      <c r="I10" s="20" t="s">
        <v>109</v>
      </c>
      <c r="J10" s="20" t="s">
        <v>63</v>
      </c>
      <c r="K10" s="20" t="s">
        <v>57</v>
      </c>
      <c r="L10" s="20" t="s">
        <v>56</v>
      </c>
      <c r="M10" s="20" t="s">
        <v>110</v>
      </c>
    </row>
    <row r="11" spans="1:13" ht="24" customHeight="1" thickBot="1" x14ac:dyDescent="0.35">
      <c r="A11" s="64">
        <f>A8</f>
        <v>8</v>
      </c>
      <c r="B11" s="22" t="s">
        <v>257</v>
      </c>
      <c r="C11" s="22"/>
      <c r="D11" s="23"/>
      <c r="E11" s="24"/>
      <c r="H11" s="11"/>
      <c r="I11" s="11"/>
      <c r="J11" s="11"/>
      <c r="K11" s="11"/>
    </row>
    <row r="12" spans="1:13" ht="48" customHeight="1" thickTop="1" thickBot="1" x14ac:dyDescent="0.35">
      <c r="A12" s="64">
        <f>$A$8 + (ROW()-11)/100</f>
        <v>8.01</v>
      </c>
      <c r="B12" s="22" t="s">
        <v>243</v>
      </c>
      <c r="C12" s="22" t="s">
        <v>244</v>
      </c>
      <c r="D12" s="22"/>
      <c r="E12" s="49" t="s">
        <v>37</v>
      </c>
      <c r="H12" s="6">
        <v>0</v>
      </c>
      <c r="I12" s="6">
        <v>0</v>
      </c>
      <c r="J12" s="6">
        <v>0</v>
      </c>
      <c r="K12" s="6">
        <v>0</v>
      </c>
      <c r="L12" s="6">
        <v>1</v>
      </c>
      <c r="M12" s="6">
        <v>0</v>
      </c>
    </row>
    <row r="13" spans="1:13" ht="48" customHeight="1" thickTop="1" thickBot="1" x14ac:dyDescent="0.35">
      <c r="A13" s="64">
        <f t="shared" ref="A13:A18" si="0">$A$8 + (ROW()-11)/100</f>
        <v>8.02</v>
      </c>
      <c r="B13" s="22" t="s">
        <v>245</v>
      </c>
      <c r="C13" s="22" t="s">
        <v>246</v>
      </c>
      <c r="D13" s="22"/>
      <c r="E13" s="49" t="s">
        <v>37</v>
      </c>
      <c r="H13" s="6">
        <v>0</v>
      </c>
      <c r="I13" s="6">
        <v>0</v>
      </c>
      <c r="J13" s="6">
        <v>0</v>
      </c>
      <c r="K13" s="6">
        <v>0</v>
      </c>
      <c r="L13" s="6">
        <v>1</v>
      </c>
      <c r="M13" s="6">
        <v>0</v>
      </c>
    </row>
    <row r="14" spans="1:13" ht="96" customHeight="1" thickTop="1" thickBot="1" x14ac:dyDescent="0.35">
      <c r="A14" s="64">
        <f t="shared" si="0"/>
        <v>8.0299999999999994</v>
      </c>
      <c r="B14" s="54" t="s">
        <v>247</v>
      </c>
      <c r="C14" s="54" t="s">
        <v>248</v>
      </c>
      <c r="D14" s="54" t="s">
        <v>249</v>
      </c>
      <c r="E14" s="49" t="s">
        <v>37</v>
      </c>
      <c r="H14" s="6">
        <v>0</v>
      </c>
      <c r="I14" s="6">
        <v>0</v>
      </c>
      <c r="J14" s="6">
        <v>0</v>
      </c>
      <c r="K14" s="6">
        <v>0</v>
      </c>
      <c r="L14" s="6">
        <v>1</v>
      </c>
      <c r="M14" s="6">
        <v>0</v>
      </c>
    </row>
    <row r="15" spans="1:13" ht="36" customHeight="1" thickTop="1" thickBot="1" x14ac:dyDescent="0.35">
      <c r="A15" s="64">
        <f t="shared" si="0"/>
        <v>8.0399999999999991</v>
      </c>
      <c r="B15" s="54" t="s">
        <v>250</v>
      </c>
      <c r="C15" s="54" t="s">
        <v>251</v>
      </c>
      <c r="D15" s="54"/>
      <c r="E15" s="49" t="s">
        <v>37</v>
      </c>
      <c r="H15" s="6">
        <v>0</v>
      </c>
      <c r="I15" s="6">
        <v>0</v>
      </c>
      <c r="J15" s="6">
        <v>0</v>
      </c>
      <c r="K15" s="6">
        <v>0</v>
      </c>
      <c r="L15" s="6">
        <v>1</v>
      </c>
      <c r="M15" s="6">
        <v>0</v>
      </c>
    </row>
    <row r="16" spans="1:13" ht="36" customHeight="1" thickTop="1" thickBot="1" x14ac:dyDescent="0.35">
      <c r="A16" s="64">
        <f t="shared" si="0"/>
        <v>8.0500000000000007</v>
      </c>
      <c r="B16" s="54" t="s">
        <v>252</v>
      </c>
      <c r="C16" s="54" t="s">
        <v>253</v>
      </c>
      <c r="D16" s="54" t="s">
        <v>254</v>
      </c>
      <c r="E16" s="3" t="s">
        <v>37</v>
      </c>
      <c r="H16" s="6">
        <v>0</v>
      </c>
      <c r="I16" s="6">
        <v>0</v>
      </c>
      <c r="J16" s="6">
        <v>0</v>
      </c>
      <c r="K16" s="6">
        <v>0</v>
      </c>
      <c r="L16" s="6">
        <v>1</v>
      </c>
      <c r="M16" s="6">
        <v>0</v>
      </c>
    </row>
    <row r="17" spans="1:13" ht="48" customHeight="1" thickTop="1" thickBot="1" x14ac:dyDescent="0.35">
      <c r="A17" s="64">
        <f t="shared" si="0"/>
        <v>8.06</v>
      </c>
      <c r="B17" s="79" t="s">
        <v>255</v>
      </c>
      <c r="C17" s="22" t="s">
        <v>256</v>
      </c>
      <c r="D17" s="22"/>
      <c r="E17" s="49" t="s">
        <v>37</v>
      </c>
      <c r="H17" s="6">
        <v>0</v>
      </c>
      <c r="I17" s="6">
        <v>0</v>
      </c>
      <c r="J17" s="6">
        <v>0</v>
      </c>
      <c r="K17" s="6">
        <v>0</v>
      </c>
      <c r="L17" s="6">
        <v>1</v>
      </c>
      <c r="M17" s="6">
        <v>0</v>
      </c>
    </row>
    <row r="18" spans="1:13" ht="48" customHeight="1" thickTop="1" thickBot="1" x14ac:dyDescent="0.35">
      <c r="A18" s="64">
        <f t="shared" si="0"/>
        <v>8.07</v>
      </c>
      <c r="B18" s="79" t="s">
        <v>479</v>
      </c>
      <c r="C18" s="243" t="s">
        <v>480</v>
      </c>
      <c r="D18" s="243" t="s">
        <v>481</v>
      </c>
      <c r="E18" s="49" t="s">
        <v>37</v>
      </c>
      <c r="H18" s="6">
        <v>0</v>
      </c>
      <c r="I18" s="6">
        <v>0</v>
      </c>
      <c r="J18" s="6">
        <v>0</v>
      </c>
      <c r="K18" s="6">
        <v>0</v>
      </c>
      <c r="L18" s="6">
        <v>1</v>
      </c>
      <c r="M18" s="6">
        <v>0</v>
      </c>
    </row>
    <row r="19" spans="1:13" ht="24" customHeight="1" thickTop="1" x14ac:dyDescent="0.3">
      <c r="H19" s="11"/>
      <c r="I19" s="11"/>
      <c r="J19" s="11"/>
      <c r="K19" s="11"/>
    </row>
    <row r="20" spans="1:13" ht="24" customHeight="1" x14ac:dyDescent="0.35">
      <c r="B20" s="188" t="str">
        <f xml:space="preserve"> "Review Team Notes: " &amp; B8</f>
        <v>Review Team Notes: Disaster Planning</v>
      </c>
      <c r="F20" s="25"/>
      <c r="G20" s="26" t="s">
        <v>223</v>
      </c>
      <c r="H20" s="40">
        <f t="shared" ref="H20:M20" si="1">SUM(H12:H17)</f>
        <v>0</v>
      </c>
      <c r="I20" s="40">
        <f t="shared" si="1"/>
        <v>0</v>
      </c>
      <c r="J20" s="40">
        <f t="shared" si="1"/>
        <v>0</v>
      </c>
      <c r="K20" s="40">
        <f t="shared" si="1"/>
        <v>0</v>
      </c>
      <c r="L20" s="40">
        <f>SUM(L12:L18)</f>
        <v>7</v>
      </c>
      <c r="M20" s="40">
        <f t="shared" si="1"/>
        <v>0</v>
      </c>
    </row>
    <row r="21" spans="1:13" ht="24" customHeight="1" x14ac:dyDescent="0.3">
      <c r="F21" s="27"/>
      <c r="G21" s="26" t="s">
        <v>99</v>
      </c>
      <c r="H21" s="40">
        <f>H20 * LEFT('Review Information'!$C$9,1)</f>
        <v>0</v>
      </c>
      <c r="I21" s="40">
        <f>I20 * LEFT('Review Information'!$C$9,1)</f>
        <v>0</v>
      </c>
      <c r="J21" s="40">
        <f>J20 * LEFT('Review Information'!$C$9,1)</f>
        <v>0</v>
      </c>
      <c r="K21" s="40">
        <f>K20 * LEFT('Review Information'!$C$9,1)</f>
        <v>0</v>
      </c>
      <c r="L21" s="40">
        <f>L20 * LEFT('Review Information'!$C$9,1)</f>
        <v>14</v>
      </c>
      <c r="M21" s="40">
        <f>M20 * LEFT('Review Information'!$C$9,1)</f>
        <v>0</v>
      </c>
    </row>
    <row r="22" spans="1:13" ht="24" customHeight="1" x14ac:dyDescent="0.3">
      <c r="B22" s="299" t="s">
        <v>413</v>
      </c>
      <c r="C22" s="300"/>
      <c r="D22" s="300"/>
      <c r="E22" s="301"/>
      <c r="F22" s="27"/>
      <c r="G22" s="26" t="s">
        <v>100</v>
      </c>
      <c r="H22" s="18" t="str">
        <f>IF(LEFT('Review Information'!$C$8,1)="1",SUM(LEFT($E$12,1), LEFT($E$13,1),LEFT($E$14,1),LEFT($E$15,1),LEFT($E$16,1),LEFT($E$17,1)),"NA")</f>
        <v>NA</v>
      </c>
      <c r="I22" s="18" t="str">
        <f>IF(LEFT('Review Information'!$C$8,1)="2",SUM(LEFT($E$12,1), LEFT($E$13,1),LEFT($E$14,1),LEFT($E$15,1),LEFT($E$16,1),LEFT($E$17,1)),"NA")</f>
        <v>NA</v>
      </c>
      <c r="J22" s="18" t="str">
        <f>IF(LEFT('Review Information'!$C$8,1)="3",SUM(LEFT($E$12,1), LEFT($E$13,1),LEFT($E$14,1),LEFT($E$15,1),LEFT($E$16,1),LEFT($E$17,1)),"NA")</f>
        <v>NA</v>
      </c>
      <c r="K22" s="18" t="str">
        <f>IF(LEFT('Review Information'!$C$8,1)="4",SUM(LEFT($E$12,1), LEFT($E$13,1),LEFT($E$14,1),LEFT($E$15,1),LEFT($E$16,1),LEFT($E$17,1)),"NA")</f>
        <v>NA</v>
      </c>
      <c r="L22" s="18">
        <f>IF(LEFT('Review Information'!$C$8,1)="5",SUM(LEFT($E$12,1), LEFT($E$13,1),LEFT($E$14,1),LEFT($E$15,1),LEFT($E$16,1),LEFT($E$17,1)),"NA")</f>
        <v>0</v>
      </c>
      <c r="M22" s="18" t="str">
        <f>IF(LEFT('Review Information'!$C$8,1)="6",SUM(LEFT($E$12,1), LEFT($E$13,1),LEFT($E$14,1),LEFT($E$15,1),LEFT($E$16,1),LEFT($E$17,1)),"NA")</f>
        <v>NA</v>
      </c>
    </row>
    <row r="23" spans="1:13" ht="24" customHeight="1" x14ac:dyDescent="0.3">
      <c r="B23" s="278"/>
      <c r="C23" s="279"/>
      <c r="D23" s="279"/>
      <c r="E23" s="280"/>
      <c r="F23" s="27"/>
      <c r="G23" s="26" t="s">
        <v>105</v>
      </c>
      <c r="H23" s="41" t="str">
        <f>IF(LEFT('Review Information'!$C$8,1)="1",H$22/H$21,"NA")</f>
        <v>NA</v>
      </c>
      <c r="I23" s="41" t="str">
        <f>IF(LEFT('Review Information'!$C$8,1)="2",I$22/I$21,"NA")</f>
        <v>NA</v>
      </c>
      <c r="J23" s="41" t="str">
        <f>IF(LEFT('Review Information'!$C$8,1)="3",J$22/J$21,"NA")</f>
        <v>NA</v>
      </c>
      <c r="K23" s="41" t="str">
        <f>IF(LEFT('Review Information'!$C$8,1)="4",K$22/K$21,"NA")</f>
        <v>NA</v>
      </c>
      <c r="L23" s="41">
        <f>IF(LEFT('Review Information'!$C$8,1)="5",L$22/L$21,"NA")</f>
        <v>0</v>
      </c>
      <c r="M23" s="41" t="str">
        <f>IF(LEFT('Review Information'!$C$8,1)="6",M$22/M$21,"NA")</f>
        <v>NA</v>
      </c>
    </row>
    <row r="24" spans="1:13" ht="24" customHeight="1" x14ac:dyDescent="0.3">
      <c r="B24" s="278"/>
      <c r="C24" s="279"/>
      <c r="D24" s="279"/>
      <c r="E24" s="280"/>
      <c r="H24" s="11"/>
      <c r="I24" s="11"/>
      <c r="J24" s="11"/>
      <c r="K24" s="11"/>
    </row>
    <row r="25" spans="1:13" ht="24" customHeight="1" x14ac:dyDescent="0.3">
      <c r="B25" s="278"/>
      <c r="C25" s="279"/>
      <c r="D25" s="279"/>
      <c r="E25" s="280"/>
      <c r="H25" s="11"/>
      <c r="I25" s="11"/>
      <c r="J25" s="11"/>
      <c r="K25" s="11"/>
    </row>
    <row r="26" spans="1:13" ht="24" customHeight="1" x14ac:dyDescent="0.3">
      <c r="B26" s="278"/>
      <c r="C26" s="279"/>
      <c r="D26" s="279"/>
      <c r="E26" s="280"/>
      <c r="H26" s="15" t="s">
        <v>107</v>
      </c>
      <c r="I26" s="16"/>
      <c r="J26" s="16"/>
      <c r="K26" s="16"/>
      <c r="L26" s="17"/>
      <c r="M26" s="17"/>
    </row>
    <row r="27" spans="1:13" ht="24" customHeight="1" x14ac:dyDescent="0.3">
      <c r="B27" s="278"/>
      <c r="C27" s="279"/>
      <c r="D27" s="279"/>
      <c r="E27" s="280"/>
      <c r="G27" s="77" t="s">
        <v>102</v>
      </c>
      <c r="H27" s="125">
        <v>0</v>
      </c>
      <c r="I27" s="125">
        <v>0</v>
      </c>
      <c r="J27" s="125">
        <v>0</v>
      </c>
      <c r="K27" s="125">
        <v>0</v>
      </c>
      <c r="L27" s="125">
        <v>0</v>
      </c>
      <c r="M27" s="125">
        <v>0</v>
      </c>
    </row>
    <row r="28" spans="1:13" ht="24" customHeight="1" x14ac:dyDescent="0.3">
      <c r="B28" s="278"/>
      <c r="C28" s="279"/>
      <c r="D28" s="279"/>
      <c r="E28" s="280"/>
      <c r="G28" s="77" t="s">
        <v>103</v>
      </c>
      <c r="H28" s="40">
        <f>H27 * LEFT('Review Information'!$C$9,1)</f>
        <v>0</v>
      </c>
      <c r="I28" s="40">
        <f>I27 * LEFT('Review Information'!$C$9,1)</f>
        <v>0</v>
      </c>
      <c r="J28" s="40">
        <f>J27 * LEFT('Review Information'!$C$9,1)</f>
        <v>0</v>
      </c>
      <c r="K28" s="40">
        <f>K27 * LEFT('Review Information'!$C$9,1)</f>
        <v>0</v>
      </c>
      <c r="L28" s="40">
        <f>L27 * LEFT('Review Information'!$C$9,1)</f>
        <v>0</v>
      </c>
      <c r="M28" s="40">
        <f>M27 * LEFT('Review Information'!$C$9,1)</f>
        <v>0</v>
      </c>
    </row>
    <row r="29" spans="1:13" ht="24" customHeight="1" x14ac:dyDescent="0.3">
      <c r="B29" s="278"/>
      <c r="C29" s="279"/>
      <c r="D29" s="279"/>
      <c r="E29" s="280"/>
      <c r="G29" s="77" t="s">
        <v>73</v>
      </c>
      <c r="H29" s="42" t="s">
        <v>149</v>
      </c>
      <c r="I29" s="42" t="s">
        <v>149</v>
      </c>
      <c r="J29" s="42" t="s">
        <v>149</v>
      </c>
      <c r="K29" s="42" t="s">
        <v>149</v>
      </c>
      <c r="L29" s="42" t="s">
        <v>149</v>
      </c>
      <c r="M29" s="42" t="s">
        <v>149</v>
      </c>
    </row>
    <row r="30" spans="1:13" ht="24" customHeight="1" x14ac:dyDescent="0.3">
      <c r="B30" s="281"/>
      <c r="C30" s="282"/>
      <c r="D30" s="282"/>
      <c r="E30" s="283"/>
      <c r="G30" s="77" t="s">
        <v>197</v>
      </c>
      <c r="H30" s="42" t="s">
        <v>149</v>
      </c>
      <c r="I30" s="42" t="s">
        <v>149</v>
      </c>
      <c r="J30" s="42" t="s">
        <v>149</v>
      </c>
      <c r="K30" s="42" t="s">
        <v>149</v>
      </c>
      <c r="L30" s="42" t="s">
        <v>149</v>
      </c>
      <c r="M30" s="42" t="s">
        <v>149</v>
      </c>
    </row>
    <row r="31" spans="1:13" ht="24" customHeight="1" x14ac:dyDescent="0.3">
      <c r="G31" s="26"/>
      <c r="H31" s="41"/>
      <c r="I31" s="41"/>
      <c r="J31" s="41"/>
      <c r="K31" s="41"/>
      <c r="L31" s="41"/>
      <c r="M31" s="41"/>
    </row>
    <row r="32" spans="1:13" ht="24" customHeight="1" x14ac:dyDescent="0.3">
      <c r="B32" s="293" t="s">
        <v>36</v>
      </c>
      <c r="C32" s="294"/>
      <c r="D32" s="294"/>
      <c r="E32" s="295"/>
      <c r="H32" s="15" t="s">
        <v>108</v>
      </c>
      <c r="I32" s="43"/>
      <c r="J32" s="43"/>
      <c r="K32" s="43"/>
      <c r="L32" s="43"/>
      <c r="M32" s="43"/>
    </row>
    <row r="33" spans="1:13" ht="54" customHeight="1" x14ac:dyDescent="0.3">
      <c r="B33" s="284" t="s">
        <v>400</v>
      </c>
      <c r="C33" s="285"/>
      <c r="D33" s="285"/>
      <c r="E33" s="286"/>
      <c r="G33" s="78" t="s">
        <v>101</v>
      </c>
      <c r="H33" s="133">
        <v>3</v>
      </c>
      <c r="I33" s="133">
        <v>3</v>
      </c>
      <c r="J33" s="133">
        <v>3</v>
      </c>
      <c r="K33" s="133">
        <v>3</v>
      </c>
      <c r="L33" s="133">
        <v>3</v>
      </c>
      <c r="M33" s="133">
        <v>3</v>
      </c>
    </row>
    <row r="34" spans="1:13" ht="38.25" customHeight="1" x14ac:dyDescent="0.3">
      <c r="B34" s="296" t="s">
        <v>401</v>
      </c>
      <c r="C34" s="297"/>
      <c r="D34" s="297"/>
      <c r="E34" s="298"/>
      <c r="G34" s="78" t="s">
        <v>104</v>
      </c>
      <c r="H34" s="40">
        <f>H33 * LEFT('Review Information'!$C$9,1)</f>
        <v>6</v>
      </c>
      <c r="I34" s="40">
        <f>I33 * LEFT('Review Information'!$C$9,1)</f>
        <v>6</v>
      </c>
      <c r="J34" s="40">
        <f>J33 * LEFT('Review Information'!$C$9,1)</f>
        <v>6</v>
      </c>
      <c r="K34" s="40">
        <f>K33 * LEFT('Review Information'!$C$9,1)</f>
        <v>6</v>
      </c>
      <c r="L34" s="40">
        <f>L33 * LEFT('Review Information'!$C$9,1)</f>
        <v>6</v>
      </c>
      <c r="M34" s="40">
        <f>M33 * LEFT('Review Information'!$C$9,1)</f>
        <v>6</v>
      </c>
    </row>
    <row r="35" spans="1:13" ht="33" customHeight="1" x14ac:dyDescent="0.3">
      <c r="B35" s="287" t="s">
        <v>74</v>
      </c>
      <c r="C35" s="288"/>
      <c r="D35" s="288"/>
      <c r="E35" s="289"/>
      <c r="G35" s="78" t="s">
        <v>75</v>
      </c>
      <c r="H35" s="42" t="str">
        <f>IF(LEFT('Review Information'!$C$8,1)="1",SUM(LEFT($E$14,1),LEFT($E$15,1),LEFT($E$16,1)),"NA")</f>
        <v>NA</v>
      </c>
      <c r="I35" s="42" t="str">
        <f>IF(LEFT('Review Information'!$C$8,1)="2",SUM(LEFT($E$14,1),LEFT($E$15,1),LEFT($E$16,1)),"NA")</f>
        <v>NA</v>
      </c>
      <c r="J35" s="42" t="str">
        <f>IF(LEFT('Review Information'!$C$8,1)="3",SUM(LEFT($E$14,1),LEFT($E$15,1),LEFT($E$16,1)),"NA")</f>
        <v>NA</v>
      </c>
      <c r="K35" s="42" t="str">
        <f>IF(LEFT('Review Information'!$C$8,1)="4",SUM(LEFT($E$14,1),LEFT($E$15,1),LEFT($E$16,1)),"NA")</f>
        <v>NA</v>
      </c>
      <c r="L35" s="42">
        <f>IF(LEFT('Review Information'!$C$8,1)="5",SUM(LEFT($E$14,1),LEFT($E$15,1),LEFT($E$16,1)),"NA")</f>
        <v>0</v>
      </c>
      <c r="M35" s="42" t="str">
        <f>IF(LEFT('Review Information'!$C$8,1)="6",SUM(LEFT($E$14,1),LEFT($E$15,1),LEFT($E$16,1)),"NA")</f>
        <v>NA</v>
      </c>
    </row>
    <row r="36" spans="1:13" ht="24" customHeight="1" x14ac:dyDescent="0.3">
      <c r="B36" s="290" t="s">
        <v>45</v>
      </c>
      <c r="C36" s="291"/>
      <c r="D36" s="291"/>
      <c r="E36" s="292"/>
      <c r="G36" s="78" t="s">
        <v>198</v>
      </c>
      <c r="H36" s="41" t="str">
        <f>IF(LEFT('Review Information'!$C$8,1)="1",H35/H34, "NA")</f>
        <v>NA</v>
      </c>
      <c r="I36" s="41" t="str">
        <f>IF(LEFT('Review Information'!$C$8,1)="2",I35/I34, "NA")</f>
        <v>NA</v>
      </c>
      <c r="J36" s="41" t="str">
        <f>IF(LEFT('Review Information'!$C$8,1)="3",J35/J34, "NA")</f>
        <v>NA</v>
      </c>
      <c r="K36" s="41" t="str">
        <f>IF(LEFT('Review Information'!$C$8,1)="4",K35/K34, "NA")</f>
        <v>NA</v>
      </c>
      <c r="L36" s="41">
        <f>IF(LEFT('Review Information'!$C$8,1)="5",L35/L34, "NA")</f>
        <v>0</v>
      </c>
      <c r="M36" s="41" t="str">
        <f>IF(LEFT('Review Information'!$C$8,1)="6",M35/M34, "NA")</f>
        <v>NA</v>
      </c>
    </row>
    <row r="37" spans="1:13" ht="24" customHeight="1" x14ac:dyDescent="0.3">
      <c r="H37" s="11"/>
      <c r="I37" s="11"/>
      <c r="J37" s="11"/>
      <c r="K37" s="11"/>
    </row>
    <row r="38" spans="1:13" x14ac:dyDescent="0.3">
      <c r="A38" s="258" t="str">
        <f>About!A1</f>
        <v>Urban Forest Sustainability and Management Review (v6.6a Austin)</v>
      </c>
      <c r="B38" s="259"/>
      <c r="C38" s="259"/>
      <c r="D38" s="259"/>
      <c r="E38" s="259"/>
      <c r="F38" s="302"/>
      <c r="G38" s="302"/>
      <c r="H38" s="302"/>
      <c r="I38" s="302"/>
      <c r="J38" s="302"/>
      <c r="K38" s="302"/>
      <c r="L38" s="302"/>
      <c r="M38" s="302"/>
    </row>
    <row r="39" spans="1:13" x14ac:dyDescent="0.3">
      <c r="A39" s="259"/>
      <c r="B39" s="259"/>
      <c r="C39" s="259"/>
      <c r="D39" s="259"/>
      <c r="E39" s="259"/>
      <c r="F39" s="302"/>
      <c r="G39" s="302"/>
      <c r="H39" s="302"/>
      <c r="I39" s="302"/>
      <c r="J39" s="302"/>
      <c r="K39" s="302"/>
      <c r="L39" s="302"/>
      <c r="M39" s="302"/>
    </row>
  </sheetData>
  <sheetProtection selectLockedCells="1"/>
  <mergeCells count="18">
    <mergeCell ref="B30:E30"/>
    <mergeCell ref="B32:E32"/>
    <mergeCell ref="B33:E33"/>
    <mergeCell ref="B25:E25"/>
    <mergeCell ref="B26:E26"/>
    <mergeCell ref="B27:E27"/>
    <mergeCell ref="B28:E28"/>
    <mergeCell ref="B29:E29"/>
    <mergeCell ref="A1:E2"/>
    <mergeCell ref="F1:M2"/>
    <mergeCell ref="B22:E22"/>
    <mergeCell ref="B23:E23"/>
    <mergeCell ref="B24:E24"/>
    <mergeCell ref="B34:E34"/>
    <mergeCell ref="B35:E35"/>
    <mergeCell ref="B36:E36"/>
    <mergeCell ref="A38:E39"/>
    <mergeCell ref="F38:M39"/>
  </mergeCells>
  <dataValidations count="1">
    <dataValidation type="list" allowBlank="1" showInputMessage="1" showErrorMessage="1" errorTitle="Evaluation" error="You must select from the dropdown list!" promptTitle="Evaluation" prompt="Select the most appropriate management or current activity." sqref="E12:E18">
      <formula1>Evaluate</formula1>
    </dataValidation>
  </dataValidations>
  <hyperlinks>
    <hyperlink ref="M4" location="'TOC - Quick Access'!A1" display="Return to TOC"/>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61"/>
  <sheetViews>
    <sheetView zoomScale="75" zoomScaleNormal="75" workbookViewId="0">
      <selection sqref="A1:E2"/>
    </sheetView>
  </sheetViews>
  <sheetFormatPr defaultColWidth="9.109375" defaultRowHeight="14.4" x14ac:dyDescent="0.3"/>
  <cols>
    <col min="1" max="1" width="11.109375" style="5" customWidth="1"/>
    <col min="2" max="2" width="36.109375" style="5" customWidth="1"/>
    <col min="3" max="3" width="54.88671875" style="5" customWidth="1"/>
    <col min="4" max="4" width="28.109375" style="5" customWidth="1"/>
    <col min="5" max="5" width="39.88671875" style="5" customWidth="1"/>
    <col min="6" max="6" width="3.88671875" style="5" customWidth="1"/>
    <col min="7" max="7" width="30.44140625" style="5" customWidth="1"/>
    <col min="8" max="8" width="9.88671875" style="5" customWidth="1"/>
    <col min="9" max="9" width="7.88671875" style="5" customWidth="1"/>
    <col min="10" max="11" width="7.44140625" style="5" customWidth="1"/>
    <col min="12" max="12" width="9.88671875" style="5" customWidth="1"/>
    <col min="13" max="13" width="11.6640625" style="5" customWidth="1"/>
    <col min="14" max="16384" width="9.109375" style="5"/>
  </cols>
  <sheetData>
    <row r="1" spans="1:13" x14ac:dyDescent="0.3">
      <c r="A1" s="256" t="str">
        <f>About!A1</f>
        <v>Urban Forest Sustainability and Management Review (v6.6a Austin)</v>
      </c>
      <c r="B1" s="257"/>
      <c r="C1" s="257"/>
      <c r="D1" s="257"/>
      <c r="E1" s="257"/>
      <c r="F1" s="302"/>
      <c r="G1" s="302"/>
      <c r="H1" s="302"/>
      <c r="I1" s="302"/>
      <c r="J1" s="302"/>
      <c r="K1" s="302"/>
      <c r="L1" s="302"/>
      <c r="M1" s="302"/>
    </row>
    <row r="2" spans="1:13" x14ac:dyDescent="0.3">
      <c r="A2" s="257"/>
      <c r="B2" s="257"/>
      <c r="C2" s="257"/>
      <c r="D2" s="257"/>
      <c r="E2" s="257"/>
      <c r="F2" s="302"/>
      <c r="G2" s="302"/>
      <c r="H2" s="302"/>
      <c r="I2" s="302"/>
      <c r="J2" s="302"/>
      <c r="K2" s="302"/>
      <c r="L2" s="302"/>
      <c r="M2" s="302"/>
    </row>
    <row r="3" spans="1:13" x14ac:dyDescent="0.3">
      <c r="C3" s="9"/>
      <c r="D3" s="10"/>
      <c r="H3" s="11"/>
      <c r="I3" s="11"/>
      <c r="J3" s="11"/>
      <c r="K3" s="11"/>
    </row>
    <row r="4" spans="1:13" ht="24" customHeight="1" x14ac:dyDescent="0.3">
      <c r="A4" s="12"/>
      <c r="B4" s="69" t="s">
        <v>31</v>
      </c>
      <c r="C4" s="71" t="str">
        <f>'Review Information'!C6</f>
        <v xml:space="preserve">&lt; enter the name of the city or college &gt; </v>
      </c>
      <c r="D4" s="69" t="s">
        <v>30</v>
      </c>
      <c r="E4" s="71" t="str">
        <f>'Review Information'!E6</f>
        <v>&lt; enter arborist here &gt;</v>
      </c>
      <c r="H4" s="11"/>
      <c r="I4" s="11"/>
      <c r="J4" s="11"/>
      <c r="K4" s="11"/>
      <c r="L4" s="11"/>
      <c r="M4" s="46" t="s">
        <v>115</v>
      </c>
    </row>
    <row r="5" spans="1:13" ht="24" customHeight="1" x14ac:dyDescent="0.3">
      <c r="A5" s="12"/>
      <c r="B5" s="69" t="s">
        <v>0</v>
      </c>
      <c r="C5" s="71" t="str">
        <f>'Review Information'!C7</f>
        <v>&lt; enter the team leaders name here &gt;</v>
      </c>
      <c r="D5" s="69" t="s">
        <v>29</v>
      </c>
      <c r="E5" s="73">
        <f>'Review Information'!E7</f>
        <v>42625</v>
      </c>
      <c r="H5" s="11"/>
      <c r="I5" s="11"/>
      <c r="J5" s="11"/>
      <c r="K5" s="11"/>
    </row>
    <row r="6" spans="1:13" ht="24" customHeight="1" x14ac:dyDescent="0.3">
      <c r="A6" s="12"/>
      <c r="B6" s="69" t="s">
        <v>32</v>
      </c>
      <c r="C6" s="71" t="str">
        <f>'Review Information'!C8</f>
        <v>5) Municipality</v>
      </c>
      <c r="D6" s="69"/>
      <c r="E6" s="73"/>
      <c r="H6" s="11"/>
      <c r="I6" s="11"/>
      <c r="J6" s="11"/>
      <c r="K6" s="11"/>
    </row>
    <row r="7" spans="1:13" x14ac:dyDescent="0.3">
      <c r="C7" s="9"/>
      <c r="D7" s="10"/>
      <c r="H7" s="11"/>
      <c r="I7" s="11"/>
      <c r="J7" s="11"/>
      <c r="K7" s="11"/>
    </row>
    <row r="8" spans="1:13" ht="24" customHeight="1" x14ac:dyDescent="0.3">
      <c r="A8" s="13">
        <v>9</v>
      </c>
      <c r="B8" s="66" t="s">
        <v>125</v>
      </c>
      <c r="H8" s="11"/>
      <c r="I8" s="11"/>
      <c r="J8" s="11"/>
      <c r="K8" s="11"/>
    </row>
    <row r="9" spans="1:13" ht="24" customHeight="1" x14ac:dyDescent="0.3">
      <c r="A9" s="14"/>
      <c r="H9" s="15" t="s">
        <v>106</v>
      </c>
      <c r="I9" s="16"/>
      <c r="J9" s="16"/>
      <c r="K9" s="16"/>
      <c r="L9" s="17"/>
      <c r="M9" s="17"/>
    </row>
    <row r="10" spans="1:13" ht="24" customHeight="1" x14ac:dyDescent="0.3">
      <c r="A10" s="98" t="s">
        <v>66</v>
      </c>
      <c r="B10" s="101" t="s">
        <v>67</v>
      </c>
      <c r="C10" s="101" t="s">
        <v>1</v>
      </c>
      <c r="D10" s="101" t="s">
        <v>2</v>
      </c>
      <c r="E10" s="110" t="s">
        <v>3</v>
      </c>
      <c r="F10" s="7"/>
      <c r="G10" s="7"/>
      <c r="H10" s="20" t="s">
        <v>58</v>
      </c>
      <c r="I10" s="20" t="s">
        <v>109</v>
      </c>
      <c r="J10" s="20" t="s">
        <v>63</v>
      </c>
      <c r="K10" s="20" t="s">
        <v>57</v>
      </c>
      <c r="L10" s="20" t="s">
        <v>56</v>
      </c>
      <c r="M10" s="20" t="s">
        <v>110</v>
      </c>
    </row>
    <row r="11" spans="1:13" ht="24" customHeight="1" thickBot="1" x14ac:dyDescent="0.35">
      <c r="A11" s="64">
        <f>A8</f>
        <v>9</v>
      </c>
      <c r="B11" s="22" t="s">
        <v>310</v>
      </c>
      <c r="C11" s="58"/>
      <c r="D11" s="58"/>
      <c r="E11" s="58"/>
      <c r="H11" s="11"/>
      <c r="I11" s="11"/>
      <c r="J11" s="11"/>
      <c r="K11" s="11"/>
    </row>
    <row r="12" spans="1:13" ht="48" customHeight="1" thickTop="1" thickBot="1" x14ac:dyDescent="0.35">
      <c r="A12" s="64">
        <f>$A$8 + (ROW()-11)/100</f>
        <v>9.01</v>
      </c>
      <c r="B12" s="33" t="s">
        <v>309</v>
      </c>
      <c r="C12" s="81" t="s">
        <v>258</v>
      </c>
      <c r="D12" s="81" t="s">
        <v>259</v>
      </c>
      <c r="E12" s="49" t="s">
        <v>37</v>
      </c>
      <c r="H12" s="6">
        <v>0</v>
      </c>
      <c r="I12" s="6">
        <v>0</v>
      </c>
      <c r="J12" s="6">
        <v>0</v>
      </c>
      <c r="K12" s="6">
        <v>0</v>
      </c>
      <c r="L12" s="6">
        <v>1</v>
      </c>
      <c r="M12" s="6">
        <v>0</v>
      </c>
    </row>
    <row r="13" spans="1:13" ht="36" customHeight="1" thickTop="1" thickBot="1" x14ac:dyDescent="0.35">
      <c r="A13" s="64">
        <f t="shared" ref="A13:A40" si="0">$A$8 + (ROW()-11)/100</f>
        <v>9.02</v>
      </c>
      <c r="B13" s="22" t="s">
        <v>284</v>
      </c>
      <c r="C13" s="58" t="s">
        <v>285</v>
      </c>
      <c r="D13" s="58"/>
      <c r="E13" s="3" t="s">
        <v>37</v>
      </c>
      <c r="H13" s="125">
        <v>0</v>
      </c>
      <c r="I13" s="125">
        <v>0</v>
      </c>
      <c r="J13" s="125">
        <v>0</v>
      </c>
      <c r="K13" s="125">
        <v>0</v>
      </c>
      <c r="L13" s="125">
        <v>1</v>
      </c>
      <c r="M13" s="125">
        <v>0</v>
      </c>
    </row>
    <row r="14" spans="1:13" ht="24" customHeight="1" thickTop="1" thickBot="1" x14ac:dyDescent="0.35">
      <c r="A14" s="64">
        <f>$A$8 + (ROW()-11)/100</f>
        <v>9.0299999999999994</v>
      </c>
      <c r="B14" s="54" t="s">
        <v>260</v>
      </c>
      <c r="C14" s="83" t="s">
        <v>261</v>
      </c>
      <c r="D14" s="83"/>
      <c r="E14" s="49" t="s">
        <v>37</v>
      </c>
      <c r="H14" s="6">
        <v>0</v>
      </c>
      <c r="I14" s="6">
        <v>0</v>
      </c>
      <c r="J14" s="6">
        <v>0</v>
      </c>
      <c r="K14" s="6">
        <v>0</v>
      </c>
      <c r="L14" s="6">
        <v>1</v>
      </c>
      <c r="M14" s="6">
        <v>0</v>
      </c>
    </row>
    <row r="15" spans="1:13" ht="36" customHeight="1" thickTop="1" thickBot="1" x14ac:dyDescent="0.35">
      <c r="A15" s="64">
        <f t="shared" si="0"/>
        <v>9.0399999999999991</v>
      </c>
      <c r="B15" s="54" t="s">
        <v>262</v>
      </c>
      <c r="C15" s="83" t="s">
        <v>263</v>
      </c>
      <c r="D15" s="83"/>
      <c r="E15" s="80"/>
      <c r="H15" s="129"/>
      <c r="I15" s="129"/>
      <c r="J15" s="129"/>
      <c r="K15" s="129"/>
      <c r="L15" s="129"/>
      <c r="M15" s="129"/>
    </row>
    <row r="16" spans="1:13" ht="36" customHeight="1" thickTop="1" thickBot="1" x14ac:dyDescent="0.35">
      <c r="A16" s="64">
        <f t="shared" si="0"/>
        <v>9.0500000000000007</v>
      </c>
      <c r="B16" s="84" t="s">
        <v>264</v>
      </c>
      <c r="C16" s="83" t="s">
        <v>265</v>
      </c>
      <c r="D16" s="83"/>
      <c r="E16" s="49" t="s">
        <v>37</v>
      </c>
      <c r="H16" s="125">
        <v>0</v>
      </c>
      <c r="I16" s="125">
        <v>0</v>
      </c>
      <c r="J16" s="125">
        <v>0</v>
      </c>
      <c r="K16" s="125">
        <v>0</v>
      </c>
      <c r="L16" s="125">
        <v>1</v>
      </c>
      <c r="M16" s="125">
        <v>0</v>
      </c>
    </row>
    <row r="17" spans="1:13" ht="24" customHeight="1" thickTop="1" thickBot="1" x14ac:dyDescent="0.35">
      <c r="A17" s="64">
        <f t="shared" si="0"/>
        <v>9.06</v>
      </c>
      <c r="B17" s="84" t="s">
        <v>266</v>
      </c>
      <c r="C17" s="83" t="s">
        <v>267</v>
      </c>
      <c r="D17" s="83"/>
      <c r="E17" s="49" t="s">
        <v>37</v>
      </c>
      <c r="H17" s="125">
        <v>0</v>
      </c>
      <c r="I17" s="125">
        <v>0</v>
      </c>
      <c r="J17" s="125">
        <v>0</v>
      </c>
      <c r="K17" s="125">
        <v>0</v>
      </c>
      <c r="L17" s="125">
        <v>1</v>
      </c>
      <c r="M17" s="125">
        <v>0</v>
      </c>
    </row>
    <row r="18" spans="1:13" ht="24" customHeight="1" thickTop="1" thickBot="1" x14ac:dyDescent="0.35">
      <c r="A18" s="64">
        <f t="shared" si="0"/>
        <v>9.07</v>
      </c>
      <c r="B18" s="84" t="s">
        <v>268</v>
      </c>
      <c r="C18" s="83" t="s">
        <v>269</v>
      </c>
      <c r="D18" s="83"/>
      <c r="E18" s="3" t="s">
        <v>37</v>
      </c>
      <c r="H18" s="125">
        <v>0</v>
      </c>
      <c r="I18" s="125">
        <v>0</v>
      </c>
      <c r="J18" s="125">
        <v>0</v>
      </c>
      <c r="K18" s="125">
        <v>0</v>
      </c>
      <c r="L18" s="125">
        <v>1</v>
      </c>
      <c r="M18" s="125">
        <v>0</v>
      </c>
    </row>
    <row r="19" spans="1:13" ht="24" customHeight="1" thickTop="1" thickBot="1" x14ac:dyDescent="0.35">
      <c r="A19" s="64">
        <f t="shared" si="0"/>
        <v>9.08</v>
      </c>
      <c r="B19" s="84" t="s">
        <v>270</v>
      </c>
      <c r="C19" s="83" t="s">
        <v>271</v>
      </c>
      <c r="D19" s="83"/>
      <c r="E19" s="49" t="s">
        <v>37</v>
      </c>
      <c r="H19" s="125">
        <v>0</v>
      </c>
      <c r="I19" s="125">
        <v>0</v>
      </c>
      <c r="J19" s="125">
        <v>0</v>
      </c>
      <c r="K19" s="125">
        <v>0</v>
      </c>
      <c r="L19" s="125">
        <v>1</v>
      </c>
      <c r="M19" s="125">
        <v>0</v>
      </c>
    </row>
    <row r="20" spans="1:13" ht="24" customHeight="1" thickTop="1" thickBot="1" x14ac:dyDescent="0.35">
      <c r="A20" s="64">
        <f t="shared" si="0"/>
        <v>9.09</v>
      </c>
      <c r="B20" s="84" t="s">
        <v>272</v>
      </c>
      <c r="C20" s="83" t="s">
        <v>273</v>
      </c>
      <c r="D20" s="83"/>
      <c r="E20" s="3" t="s">
        <v>37</v>
      </c>
      <c r="H20" s="125">
        <v>0</v>
      </c>
      <c r="I20" s="125">
        <v>0</v>
      </c>
      <c r="J20" s="125">
        <v>0</v>
      </c>
      <c r="K20" s="125">
        <v>0</v>
      </c>
      <c r="L20" s="125">
        <v>1</v>
      </c>
      <c r="M20" s="125">
        <v>0</v>
      </c>
    </row>
    <row r="21" spans="1:13" ht="24" customHeight="1" thickTop="1" thickBot="1" x14ac:dyDescent="0.35">
      <c r="A21" s="64">
        <f t="shared" si="0"/>
        <v>9.1</v>
      </c>
      <c r="B21" s="84" t="s">
        <v>274</v>
      </c>
      <c r="C21" s="83" t="s">
        <v>267</v>
      </c>
      <c r="D21" s="83"/>
      <c r="E21" s="3" t="s">
        <v>37</v>
      </c>
      <c r="H21" s="125">
        <v>0</v>
      </c>
      <c r="I21" s="125">
        <v>0</v>
      </c>
      <c r="J21" s="125">
        <v>0</v>
      </c>
      <c r="K21" s="125">
        <v>0</v>
      </c>
      <c r="L21" s="125">
        <v>1</v>
      </c>
      <c r="M21" s="125">
        <v>0</v>
      </c>
    </row>
    <row r="22" spans="1:13" ht="24" customHeight="1" thickTop="1" thickBot="1" x14ac:dyDescent="0.35">
      <c r="A22" s="64">
        <f t="shared" si="0"/>
        <v>9.11</v>
      </c>
      <c r="B22" s="82" t="s">
        <v>275</v>
      </c>
      <c r="C22" s="81" t="s">
        <v>276</v>
      </c>
      <c r="D22" s="81"/>
      <c r="E22" s="3" t="s">
        <v>37</v>
      </c>
      <c r="H22" s="125">
        <v>0</v>
      </c>
      <c r="I22" s="125">
        <v>0</v>
      </c>
      <c r="J22" s="125">
        <v>0</v>
      </c>
      <c r="K22" s="125">
        <v>0</v>
      </c>
      <c r="L22" s="125">
        <v>1</v>
      </c>
      <c r="M22" s="125">
        <v>0</v>
      </c>
    </row>
    <row r="23" spans="1:13" ht="48" customHeight="1" thickTop="1" thickBot="1" x14ac:dyDescent="0.35">
      <c r="A23" s="64">
        <f t="shared" si="0"/>
        <v>9.1199999999999992</v>
      </c>
      <c r="B23" s="22" t="s">
        <v>278</v>
      </c>
      <c r="C23" s="58" t="s">
        <v>279</v>
      </c>
      <c r="D23" s="58"/>
      <c r="E23" s="49" t="s">
        <v>37</v>
      </c>
      <c r="H23" s="125">
        <v>0</v>
      </c>
      <c r="I23" s="125">
        <v>0</v>
      </c>
      <c r="J23" s="125">
        <v>0</v>
      </c>
      <c r="K23" s="125">
        <v>0</v>
      </c>
      <c r="L23" s="125">
        <v>1</v>
      </c>
      <c r="M23" s="125">
        <v>0</v>
      </c>
    </row>
    <row r="24" spans="1:13" ht="48" customHeight="1" thickTop="1" thickBot="1" x14ac:dyDescent="0.35">
      <c r="A24" s="64">
        <f t="shared" si="0"/>
        <v>9.1300000000000008</v>
      </c>
      <c r="B24" s="22" t="s">
        <v>280</v>
      </c>
      <c r="C24" s="58" t="s">
        <v>281</v>
      </c>
      <c r="D24" s="58"/>
      <c r="E24" s="3" t="s">
        <v>37</v>
      </c>
      <c r="H24" s="125">
        <v>0</v>
      </c>
      <c r="I24" s="125">
        <v>0</v>
      </c>
      <c r="J24" s="125">
        <v>0</v>
      </c>
      <c r="K24" s="125">
        <v>0</v>
      </c>
      <c r="L24" s="125">
        <v>1</v>
      </c>
      <c r="M24" s="125">
        <v>0</v>
      </c>
    </row>
    <row r="25" spans="1:13" ht="36" customHeight="1" thickTop="1" thickBot="1" x14ac:dyDescent="0.35">
      <c r="A25" s="64">
        <f t="shared" si="0"/>
        <v>9.14</v>
      </c>
      <c r="B25" s="22" t="s">
        <v>282</v>
      </c>
      <c r="C25" s="58" t="s">
        <v>283</v>
      </c>
      <c r="D25" s="58"/>
      <c r="E25" s="3" t="s">
        <v>37</v>
      </c>
      <c r="H25" s="125">
        <v>0</v>
      </c>
      <c r="I25" s="125">
        <v>0</v>
      </c>
      <c r="J25" s="125">
        <v>0</v>
      </c>
      <c r="K25" s="125">
        <v>0</v>
      </c>
      <c r="L25" s="125">
        <v>1</v>
      </c>
      <c r="M25" s="125">
        <v>0</v>
      </c>
    </row>
    <row r="26" spans="1:13" ht="48" customHeight="1" thickTop="1" thickBot="1" x14ac:dyDescent="0.35">
      <c r="A26" s="64">
        <f t="shared" si="0"/>
        <v>9.15</v>
      </c>
      <c r="B26" s="22" t="s">
        <v>482</v>
      </c>
      <c r="C26" s="58" t="s">
        <v>483</v>
      </c>
      <c r="D26" s="58" t="s">
        <v>277</v>
      </c>
      <c r="E26" s="3" t="s">
        <v>37</v>
      </c>
      <c r="H26" s="125">
        <v>0</v>
      </c>
      <c r="I26" s="125">
        <v>0</v>
      </c>
      <c r="J26" s="125">
        <v>0</v>
      </c>
      <c r="K26" s="125">
        <v>0</v>
      </c>
      <c r="L26" s="125">
        <v>1</v>
      </c>
      <c r="M26" s="125">
        <v>0</v>
      </c>
    </row>
    <row r="27" spans="1:13" ht="58.2" customHeight="1" thickTop="1" thickBot="1" x14ac:dyDescent="0.35">
      <c r="A27" s="64">
        <f t="shared" si="0"/>
        <v>9.16</v>
      </c>
      <c r="B27" s="243" t="s">
        <v>427</v>
      </c>
      <c r="C27" s="58" t="s">
        <v>485</v>
      </c>
      <c r="D27" s="58"/>
      <c r="E27" s="3" t="s">
        <v>37</v>
      </c>
      <c r="H27" s="125">
        <v>0</v>
      </c>
      <c r="I27" s="125">
        <v>0</v>
      </c>
      <c r="J27" s="125">
        <v>0</v>
      </c>
      <c r="K27" s="125">
        <v>0</v>
      </c>
      <c r="L27" s="125">
        <v>1</v>
      </c>
      <c r="M27" s="125">
        <v>0</v>
      </c>
    </row>
    <row r="28" spans="1:13" ht="36" customHeight="1" thickTop="1" thickBot="1" x14ac:dyDescent="0.35">
      <c r="A28" s="64">
        <f t="shared" si="0"/>
        <v>9.17</v>
      </c>
      <c r="B28" s="22" t="s">
        <v>286</v>
      </c>
      <c r="C28" s="58" t="s">
        <v>287</v>
      </c>
      <c r="D28" s="58"/>
      <c r="E28" s="3" t="s">
        <v>37</v>
      </c>
      <c r="H28" s="125">
        <v>0</v>
      </c>
      <c r="I28" s="125">
        <v>0</v>
      </c>
      <c r="J28" s="125">
        <v>0</v>
      </c>
      <c r="K28" s="125">
        <v>0</v>
      </c>
      <c r="L28" s="125">
        <v>1</v>
      </c>
      <c r="M28" s="125">
        <v>0</v>
      </c>
    </row>
    <row r="29" spans="1:13" ht="36" customHeight="1" thickTop="1" thickBot="1" x14ac:dyDescent="0.35">
      <c r="A29" s="64">
        <f t="shared" si="0"/>
        <v>9.18</v>
      </c>
      <c r="B29" s="22" t="s">
        <v>288</v>
      </c>
      <c r="C29" s="58" t="s">
        <v>289</v>
      </c>
      <c r="D29" s="58"/>
      <c r="E29" s="3" t="s">
        <v>37</v>
      </c>
      <c r="H29" s="125">
        <v>0</v>
      </c>
      <c r="I29" s="125">
        <v>0</v>
      </c>
      <c r="J29" s="125">
        <v>0</v>
      </c>
      <c r="K29" s="125">
        <v>0</v>
      </c>
      <c r="L29" s="125">
        <v>1</v>
      </c>
      <c r="M29" s="125">
        <v>0</v>
      </c>
    </row>
    <row r="30" spans="1:13" ht="36" customHeight="1" thickTop="1" thickBot="1" x14ac:dyDescent="0.35">
      <c r="A30" s="64">
        <f t="shared" si="0"/>
        <v>9.19</v>
      </c>
      <c r="B30" s="22" t="s">
        <v>290</v>
      </c>
      <c r="C30" s="58" t="s">
        <v>291</v>
      </c>
      <c r="D30" s="58"/>
      <c r="E30" s="3" t="s">
        <v>37</v>
      </c>
      <c r="H30" s="125">
        <v>0</v>
      </c>
      <c r="I30" s="125">
        <v>0</v>
      </c>
      <c r="J30" s="125">
        <v>0</v>
      </c>
      <c r="K30" s="125">
        <v>0</v>
      </c>
      <c r="L30" s="125">
        <v>1</v>
      </c>
      <c r="M30" s="125">
        <v>0</v>
      </c>
    </row>
    <row r="31" spans="1:13" ht="36" customHeight="1" thickTop="1" thickBot="1" x14ac:dyDescent="0.35">
      <c r="A31" s="64">
        <f t="shared" si="0"/>
        <v>9.1999999999999993</v>
      </c>
      <c r="B31" s="243" t="s">
        <v>484</v>
      </c>
      <c r="C31" s="58"/>
      <c r="D31" s="58"/>
      <c r="E31" s="3" t="s">
        <v>37</v>
      </c>
      <c r="H31" s="125">
        <v>0</v>
      </c>
      <c r="I31" s="125">
        <v>0</v>
      </c>
      <c r="J31" s="125">
        <v>0</v>
      </c>
      <c r="K31" s="125">
        <v>0</v>
      </c>
      <c r="L31" s="125">
        <v>1</v>
      </c>
      <c r="M31" s="125">
        <v>0</v>
      </c>
    </row>
    <row r="32" spans="1:13" ht="36" customHeight="1" thickTop="1" thickBot="1" x14ac:dyDescent="0.35">
      <c r="A32" s="64">
        <f t="shared" si="0"/>
        <v>9.2100000000000009</v>
      </c>
      <c r="B32" s="22" t="s">
        <v>292</v>
      </c>
      <c r="C32" s="58" t="s">
        <v>293</v>
      </c>
      <c r="D32" s="58"/>
      <c r="E32" s="3" t="s">
        <v>37</v>
      </c>
      <c r="H32" s="125">
        <v>0</v>
      </c>
      <c r="I32" s="125">
        <v>0</v>
      </c>
      <c r="J32" s="125">
        <v>0</v>
      </c>
      <c r="K32" s="125">
        <v>0</v>
      </c>
      <c r="L32" s="125">
        <v>1</v>
      </c>
      <c r="M32" s="125">
        <v>0</v>
      </c>
    </row>
    <row r="33" spans="1:13" ht="60" customHeight="1" thickTop="1" thickBot="1" x14ac:dyDescent="0.35">
      <c r="A33" s="64">
        <f t="shared" si="0"/>
        <v>9.2200000000000006</v>
      </c>
      <c r="B33" s="58" t="s">
        <v>294</v>
      </c>
      <c r="C33" s="58" t="s">
        <v>295</v>
      </c>
      <c r="D33" s="58"/>
      <c r="E33" s="3" t="s">
        <v>37</v>
      </c>
      <c r="H33" s="125">
        <v>0</v>
      </c>
      <c r="I33" s="125">
        <v>0</v>
      </c>
      <c r="J33" s="125">
        <v>0</v>
      </c>
      <c r="K33" s="125">
        <v>0</v>
      </c>
      <c r="L33" s="125">
        <v>1</v>
      </c>
      <c r="M33" s="125">
        <v>0</v>
      </c>
    </row>
    <row r="34" spans="1:13" ht="36" customHeight="1" thickTop="1" thickBot="1" x14ac:dyDescent="0.35">
      <c r="A34" s="64">
        <f t="shared" si="0"/>
        <v>9.23</v>
      </c>
      <c r="B34" s="58" t="s">
        <v>296</v>
      </c>
      <c r="C34" s="58" t="s">
        <v>297</v>
      </c>
      <c r="D34" s="58"/>
      <c r="E34" s="3" t="s">
        <v>37</v>
      </c>
      <c r="H34" s="125">
        <v>0</v>
      </c>
      <c r="I34" s="125">
        <v>0</v>
      </c>
      <c r="J34" s="125">
        <v>0</v>
      </c>
      <c r="K34" s="125">
        <v>0</v>
      </c>
      <c r="L34" s="125">
        <v>1</v>
      </c>
      <c r="M34" s="125">
        <v>0</v>
      </c>
    </row>
    <row r="35" spans="1:13" ht="36" customHeight="1" thickTop="1" thickBot="1" x14ac:dyDescent="0.35">
      <c r="A35" s="64">
        <f t="shared" si="0"/>
        <v>9.24</v>
      </c>
      <c r="B35" s="58" t="s">
        <v>298</v>
      </c>
      <c r="C35" s="58" t="s">
        <v>299</v>
      </c>
      <c r="D35" s="58"/>
      <c r="E35" s="3" t="s">
        <v>37</v>
      </c>
      <c r="H35" s="125">
        <v>0</v>
      </c>
      <c r="I35" s="125">
        <v>0</v>
      </c>
      <c r="J35" s="125">
        <v>0</v>
      </c>
      <c r="K35" s="125">
        <v>0</v>
      </c>
      <c r="L35" s="125">
        <v>1</v>
      </c>
      <c r="M35" s="125">
        <v>0</v>
      </c>
    </row>
    <row r="36" spans="1:13" ht="31.8" customHeight="1" thickTop="1" thickBot="1" x14ac:dyDescent="0.35">
      <c r="A36" s="64">
        <f t="shared" si="0"/>
        <v>9.25</v>
      </c>
      <c r="B36" s="58" t="s">
        <v>486</v>
      </c>
      <c r="C36" s="58" t="s">
        <v>487</v>
      </c>
      <c r="D36" s="58"/>
      <c r="E36" s="3" t="s">
        <v>37</v>
      </c>
      <c r="H36" s="125">
        <v>0</v>
      </c>
      <c r="I36" s="125">
        <v>0</v>
      </c>
      <c r="J36" s="125">
        <v>0</v>
      </c>
      <c r="K36" s="125">
        <v>0</v>
      </c>
      <c r="L36" s="125">
        <v>1</v>
      </c>
      <c r="M36" s="125">
        <v>0</v>
      </c>
    </row>
    <row r="37" spans="1:13" ht="66.599999999999994" customHeight="1" thickTop="1" thickBot="1" x14ac:dyDescent="0.35">
      <c r="A37" s="64">
        <f t="shared" si="0"/>
        <v>9.26</v>
      </c>
      <c r="B37" s="58" t="s">
        <v>300</v>
      </c>
      <c r="C37" s="58" t="s">
        <v>301</v>
      </c>
      <c r="D37" s="58" t="s">
        <v>488</v>
      </c>
      <c r="E37" s="3" t="s">
        <v>37</v>
      </c>
      <c r="H37" s="125">
        <v>0</v>
      </c>
      <c r="I37" s="125">
        <v>0</v>
      </c>
      <c r="J37" s="125">
        <v>0</v>
      </c>
      <c r="K37" s="125">
        <v>0</v>
      </c>
      <c r="L37" s="125">
        <v>1</v>
      </c>
      <c r="M37" s="125">
        <v>0</v>
      </c>
    </row>
    <row r="38" spans="1:13" ht="250.2" customHeight="1" thickTop="1" thickBot="1" x14ac:dyDescent="0.35">
      <c r="A38" s="64">
        <f t="shared" si="0"/>
        <v>9.27</v>
      </c>
      <c r="B38" s="58" t="s">
        <v>302</v>
      </c>
      <c r="C38" s="58" t="s">
        <v>308</v>
      </c>
      <c r="D38" s="58" t="s">
        <v>303</v>
      </c>
      <c r="E38" s="3" t="s">
        <v>37</v>
      </c>
      <c r="H38" s="125">
        <v>0</v>
      </c>
      <c r="I38" s="125">
        <v>0</v>
      </c>
      <c r="J38" s="125">
        <v>0</v>
      </c>
      <c r="K38" s="125">
        <v>0</v>
      </c>
      <c r="L38" s="125">
        <v>1</v>
      </c>
      <c r="M38" s="125">
        <v>0</v>
      </c>
    </row>
    <row r="39" spans="1:13" ht="36" customHeight="1" thickTop="1" thickBot="1" x14ac:dyDescent="0.35">
      <c r="A39" s="64">
        <f t="shared" si="0"/>
        <v>9.2799999999999994</v>
      </c>
      <c r="B39" s="58" t="s">
        <v>304</v>
      </c>
      <c r="C39" s="58" t="s">
        <v>305</v>
      </c>
      <c r="D39" s="58"/>
      <c r="E39" s="3" t="s">
        <v>37</v>
      </c>
      <c r="H39" s="125">
        <v>0</v>
      </c>
      <c r="I39" s="125">
        <v>0</v>
      </c>
      <c r="J39" s="125">
        <v>0</v>
      </c>
      <c r="K39" s="125">
        <v>0</v>
      </c>
      <c r="L39" s="125">
        <v>1</v>
      </c>
      <c r="M39" s="125">
        <v>0</v>
      </c>
    </row>
    <row r="40" spans="1:13" ht="36" customHeight="1" thickTop="1" thickBot="1" x14ac:dyDescent="0.35">
      <c r="A40" s="64">
        <f t="shared" si="0"/>
        <v>9.2899999999999991</v>
      </c>
      <c r="B40" s="243" t="s">
        <v>306</v>
      </c>
      <c r="C40" s="243" t="s">
        <v>307</v>
      </c>
      <c r="D40" s="248" t="s">
        <v>489</v>
      </c>
      <c r="E40" s="3" t="s">
        <v>37</v>
      </c>
      <c r="H40" s="125">
        <v>0</v>
      </c>
      <c r="I40" s="125">
        <v>0</v>
      </c>
      <c r="J40" s="125">
        <v>0</v>
      </c>
      <c r="K40" s="125">
        <v>0</v>
      </c>
      <c r="L40" s="125">
        <v>1</v>
      </c>
      <c r="M40" s="125">
        <v>0</v>
      </c>
    </row>
    <row r="41" spans="1:13" ht="24" customHeight="1" thickTop="1" x14ac:dyDescent="0.3">
      <c r="H41" s="11"/>
      <c r="I41" s="11"/>
      <c r="J41" s="11"/>
      <c r="K41" s="11"/>
    </row>
    <row r="42" spans="1:13" ht="24" customHeight="1" x14ac:dyDescent="0.35">
      <c r="B42" s="188" t="str">
        <f xml:space="preserve"> "Review Team Notes: " &amp; B8</f>
        <v>Review Team Notes: Practices, Standards, and BMPs</v>
      </c>
      <c r="F42" s="25"/>
      <c r="G42" s="26" t="s">
        <v>223</v>
      </c>
      <c r="H42" s="40">
        <f>SUM(H12:H40)</f>
        <v>0</v>
      </c>
      <c r="I42" s="40">
        <f t="shared" ref="I42:M42" si="1">SUM(I12:I40)</f>
        <v>0</v>
      </c>
      <c r="J42" s="40">
        <f t="shared" si="1"/>
        <v>0</v>
      </c>
      <c r="K42" s="40">
        <f t="shared" si="1"/>
        <v>0</v>
      </c>
      <c r="L42" s="40">
        <f t="shared" si="1"/>
        <v>28</v>
      </c>
      <c r="M42" s="40">
        <f t="shared" si="1"/>
        <v>0</v>
      </c>
    </row>
    <row r="43" spans="1:13" ht="24" customHeight="1" x14ac:dyDescent="0.3">
      <c r="F43" s="27"/>
      <c r="G43" s="26" t="s">
        <v>99</v>
      </c>
      <c r="H43" s="40">
        <f>H42 * LEFT('Review Information'!$C$9,1)</f>
        <v>0</v>
      </c>
      <c r="I43" s="40">
        <f>I42 * LEFT('Review Information'!$C$9,1)</f>
        <v>0</v>
      </c>
      <c r="J43" s="40">
        <f>J42 * LEFT('Review Information'!$C$9,1)</f>
        <v>0</v>
      </c>
      <c r="K43" s="40">
        <f>K42 * LEFT('Review Information'!$C$9,1)</f>
        <v>0</v>
      </c>
      <c r="L43" s="40">
        <f>L42 * LEFT('Review Information'!$C$9,1)</f>
        <v>56</v>
      </c>
      <c r="M43" s="40">
        <f>M42 * LEFT('Review Information'!$C$9,1)</f>
        <v>0</v>
      </c>
    </row>
    <row r="44" spans="1:13" ht="24" customHeight="1" x14ac:dyDescent="0.3">
      <c r="B44" s="299" t="s">
        <v>413</v>
      </c>
      <c r="C44" s="300"/>
      <c r="D44" s="300"/>
      <c r="E44" s="301"/>
      <c r="F44" s="27"/>
      <c r="G44" s="26" t="s">
        <v>100</v>
      </c>
      <c r="H44" s="18" t="str">
        <f>IF(LEFT('Review Information'!$C$8,1)="1",SUM(LEFT($E$12,1),LEFT($E$14,1),LEFT($E$16,1),LEFT($E$17,1),LEFT($E$18,1),LEFT($E$19,1),LEFT($E$20,1),LEFT($E$21,1),LEFT($E$22,1),LEFT($E$26,1),LEFT($E$23,1),LEFT($E24,1),LEFT($E$25,1),LEFT($E$13,1),LEFT($E$28,1),LEFT($E$29,1),LEFT($E$30,1),LEFT($E$32,1),LEFT($E$33,1),LEFT($E$34,1),LEFT($E$35,1),LEFT($E$37,1),LEFT($E$38,1),LEFT($E$39,1),LEFT($E$40,1)),"NA")</f>
        <v>NA</v>
      </c>
      <c r="I44" s="18" t="str">
        <f>IF(LEFT('Review Information'!$C$8,1)="2",SUM(LEFT($E$12,1),LEFT($E$14,1),LEFT($E$16,1),LEFT($E$17,1),LEFT($E$18,1),LEFT($E$19,1),LEFT($E$20,1),LEFT($E$21,1),LEFT($E$22,1),LEFT($E$26,1),LEFT($E$23,1),LEFT($E24,1),LEFT($E$25,1),LEFT($E$13,1),LEFT($E$28,1),LEFT($E$29,1),LEFT($E$30,1),LEFT($E$32,1),LEFT($E$33,1),LEFT($E$34,1),LEFT($E$35,1),LEFT($E$37,1),LEFT($E$38,1),LEFT($E$39,1),LEFT($E$40,1)),"NA")</f>
        <v>NA</v>
      </c>
      <c r="J44" s="18" t="str">
        <f>IF(LEFT('Review Information'!$C$8,1)="3",SUM(LEFT($E$12,1),LEFT($E$14,1),LEFT($E$16,1),LEFT($E$17,1),LEFT($E$18,1),LEFT($E$19,1),LEFT($E$20,1),LEFT($E$21,1),LEFT($E$22,1),LEFT($E$26,1),LEFT($E$23,1),LEFT($E24,1),LEFT($E$25,1),LEFT($E$13,1),LEFT($E$28,1),LEFT($E$29,1),LEFT($E$30,1),LEFT($E$32,1),LEFT($E$33,1),LEFT($E$34,1),LEFT($E$35,1),LEFT($E$37,1),LEFT($E$38,1),LEFT($E$39,1),LEFT($E$40,1)),"NA")</f>
        <v>NA</v>
      </c>
      <c r="K44" s="18" t="str">
        <f>IF(LEFT('Review Information'!$C$8,1)="4",SUM(LEFT($E$12,1),LEFT($E$14,1),LEFT($E$16,1),LEFT($E$17,1),LEFT($E$18,1),LEFT($E$19,1),LEFT($E$20,1),LEFT($E$21,1),LEFT($E$22,1),LEFT($E$26,1),LEFT($E$23,1),LEFT($E24,1),LEFT($E$25,1),LEFT($E$13,1),LEFT($E$28,1),LEFT($E$29,1),LEFT($E$30,1),LEFT($E$32,1),LEFT($E$33,1),LEFT($E$34,1),LEFT($E$35,1),LEFT($E$37,1),LEFT($E$38,1),LEFT($E$39,1),LEFT($E$40,1)),"NA")</f>
        <v>NA</v>
      </c>
      <c r="L44" s="18">
        <f>IF(LEFT('Review Information'!$C$8,1)="5",SUM(LEFT($E$12,1),LEFT($E$14,1),LEFT($E$16,1),LEFT($E$17,1),LEFT($E$18,1),LEFT($E$19,1),LEFT($E$20,1),LEFT($E$21,1),LEFT($E$22,1),LEFT($E$26,1),LEFT($E$23,1),LEFT($E24,1),LEFT($E$25,1),LEFT($E$13,1),LEFT($E$28,1),LEFT($E$29,1),LEFT($E$30,1),LEFT($E$32,1),LEFT($E$33,1),LEFT($E$34,1),LEFT($E$35,1),LEFT($E$37,1),LEFT($E$38,1),LEFT($E$39,1),LEFT($E$40,1)),"NA")</f>
        <v>0</v>
      </c>
      <c r="M44" s="18" t="str">
        <f>IF(LEFT('Review Information'!$C$8,1)="6",SUM(LEFT($E$12,1),LEFT($E$14,1),LEFT($E$16,1),LEFT($E$17,1),LEFT($E$18,1),LEFT($E$19,1),LEFT($E$20,1),LEFT($E$21,1),LEFT($E$22,1),LEFT($E$26,1),LEFT($E$23,1),LEFT($E24,1),LEFT($E$25,1),LEFT($E$13,1),LEFT($E$28,1),LEFT($E$29,1),LEFT($E$30,1),LEFT($E$32,1),LEFT($E$33,1),LEFT($E$34,1),LEFT($E$35,1),LEFT($E$37,1),LEFT($E$38,1),LEFT($E$39,1),LEFT($E$40,1)),"NA")</f>
        <v>NA</v>
      </c>
    </row>
    <row r="45" spans="1:13" ht="24" customHeight="1" x14ac:dyDescent="0.3">
      <c r="B45" s="278"/>
      <c r="C45" s="279"/>
      <c r="D45" s="279"/>
      <c r="E45" s="280"/>
      <c r="F45" s="27"/>
      <c r="G45" s="26" t="s">
        <v>105</v>
      </c>
      <c r="H45" s="41" t="str">
        <f>IF(LEFT('Review Information'!$C$8,1)="1",H$44/H$43,"NA")</f>
        <v>NA</v>
      </c>
      <c r="I45" s="41" t="str">
        <f>IF(LEFT('Review Information'!$C$8,1)="2",I$44/I$43,"NA")</f>
        <v>NA</v>
      </c>
      <c r="J45" s="41" t="str">
        <f>IF(LEFT('Review Information'!$C$8,1)="3",J$44/J$43,"NA")</f>
        <v>NA</v>
      </c>
      <c r="K45" s="41" t="str">
        <f>IF(LEFT('Review Information'!$C$8,1)="4",K$44/K$43,"NA")</f>
        <v>NA</v>
      </c>
      <c r="L45" s="41">
        <f>IF(LEFT('Review Information'!$C$8,1)="5",L$44/L$43,"NA")</f>
        <v>0</v>
      </c>
      <c r="M45" s="41" t="str">
        <f>IF(LEFT('Review Information'!$C$8,1)="6",M$44/M$43,"NA")</f>
        <v>NA</v>
      </c>
    </row>
    <row r="46" spans="1:13" ht="24" customHeight="1" x14ac:dyDescent="0.3">
      <c r="B46" s="278"/>
      <c r="C46" s="279"/>
      <c r="D46" s="279"/>
      <c r="E46" s="280"/>
      <c r="H46" s="11"/>
      <c r="I46" s="11"/>
      <c r="J46" s="11"/>
      <c r="K46" s="11"/>
    </row>
    <row r="47" spans="1:13" ht="24" customHeight="1" x14ac:dyDescent="0.3">
      <c r="B47" s="278"/>
      <c r="C47" s="279"/>
      <c r="D47" s="279"/>
      <c r="E47" s="280"/>
      <c r="H47" s="11"/>
      <c r="I47" s="11"/>
      <c r="J47" s="11"/>
      <c r="K47" s="11"/>
    </row>
    <row r="48" spans="1:13" ht="24" customHeight="1" x14ac:dyDescent="0.3">
      <c r="B48" s="278"/>
      <c r="C48" s="279"/>
      <c r="D48" s="279"/>
      <c r="E48" s="280"/>
      <c r="H48" s="15" t="s">
        <v>107</v>
      </c>
      <c r="I48" s="16"/>
      <c r="J48" s="16"/>
      <c r="K48" s="16"/>
      <c r="L48" s="17"/>
      <c r="M48" s="17"/>
    </row>
    <row r="49" spans="1:13" ht="24" customHeight="1" x14ac:dyDescent="0.3">
      <c r="B49" s="278"/>
      <c r="C49" s="279"/>
      <c r="D49" s="279"/>
      <c r="E49" s="280"/>
      <c r="G49" s="77" t="s">
        <v>102</v>
      </c>
      <c r="H49" s="125">
        <v>2</v>
      </c>
      <c r="I49" s="125">
        <v>2</v>
      </c>
      <c r="J49" s="125">
        <v>2</v>
      </c>
      <c r="K49" s="125">
        <v>2</v>
      </c>
      <c r="L49" s="125">
        <v>2</v>
      </c>
      <c r="M49" s="125">
        <v>2</v>
      </c>
    </row>
    <row r="50" spans="1:13" ht="24" customHeight="1" x14ac:dyDescent="0.3">
      <c r="B50" s="278"/>
      <c r="C50" s="279"/>
      <c r="D50" s="279"/>
      <c r="E50" s="280"/>
      <c r="G50" s="77" t="s">
        <v>103</v>
      </c>
      <c r="H50" s="40">
        <f>H49 * LEFT('Review Information'!$C$9,1)</f>
        <v>4</v>
      </c>
      <c r="I50" s="40">
        <f>I49 * LEFT('Review Information'!$C$9,1)</f>
        <v>4</v>
      </c>
      <c r="J50" s="40">
        <f>J49 * LEFT('Review Information'!$C$9,1)</f>
        <v>4</v>
      </c>
      <c r="K50" s="40">
        <f>K49 * LEFT('Review Information'!$C$9,1)</f>
        <v>4</v>
      </c>
      <c r="L50" s="40">
        <f>L49 * LEFT('Review Information'!$C$9,1)</f>
        <v>4</v>
      </c>
      <c r="M50" s="40">
        <f>M49 * LEFT('Review Information'!$C$9,1)</f>
        <v>4</v>
      </c>
    </row>
    <row r="51" spans="1:13" ht="24" customHeight="1" x14ac:dyDescent="0.3">
      <c r="B51" s="278"/>
      <c r="C51" s="279"/>
      <c r="D51" s="279"/>
      <c r="E51" s="280"/>
      <c r="G51" s="77" t="s">
        <v>73</v>
      </c>
      <c r="H51" s="42" t="str">
        <f>IF(LEFT('Review Information'!$C$8,1)="1",SUM(LEFT($E$16,1),LEFT($E$23,1)),"NA")</f>
        <v>NA</v>
      </c>
      <c r="I51" s="42" t="str">
        <f>IF(LEFT('Review Information'!$C$8,1)="2",SUM(LEFT($E$16,1),LEFT($E$23,1)),"NA")</f>
        <v>NA</v>
      </c>
      <c r="J51" s="42" t="str">
        <f>IF(LEFT('Review Information'!$C$8,1)="3",SUM(LEFT($E$16,1),LEFT($E$23,1)),"NA")</f>
        <v>NA</v>
      </c>
      <c r="K51" s="42" t="str">
        <f>IF(LEFT('Review Information'!$C$8,1)="4",SUM(LEFT($E$16,1),LEFT($E$23,1)),"NA")</f>
        <v>NA</v>
      </c>
      <c r="L51" s="42">
        <f>IF(LEFT('Review Information'!$C$8,1)="5",SUM(LEFT($E$16,1),LEFT($E$23,1)),"NA")</f>
        <v>0</v>
      </c>
      <c r="M51" s="42" t="str">
        <f>IF(LEFT('Review Information'!$C$8,1)="6",SUM(LEFT($E$16,1),LEFT($E$23,1)),"NA")</f>
        <v>NA</v>
      </c>
    </row>
    <row r="52" spans="1:13" ht="24" customHeight="1" x14ac:dyDescent="0.3">
      <c r="B52" s="281"/>
      <c r="C52" s="282"/>
      <c r="D52" s="282"/>
      <c r="E52" s="283"/>
      <c r="G52" s="77" t="s">
        <v>197</v>
      </c>
      <c r="H52" s="41" t="str">
        <f>IF(LEFT('Review Information'!$C$8,1)="1",H51/H50, "NA")</f>
        <v>NA</v>
      </c>
      <c r="I52" s="41" t="str">
        <f>IF(LEFT('Review Information'!$C$8,1)="2",I51/I50, "NA")</f>
        <v>NA</v>
      </c>
      <c r="J52" s="41" t="str">
        <f>IF(LEFT('Review Information'!$C$8,1)="3",J51/J50, "NA")</f>
        <v>NA</v>
      </c>
      <c r="K52" s="41" t="str">
        <f>IF(LEFT('Review Information'!$C$8,1)="4",K51/K50, "NA")</f>
        <v>NA</v>
      </c>
      <c r="L52" s="41">
        <f>IF(LEFT('Review Information'!$C$8,1)="5",L51/L50, "NA")</f>
        <v>0</v>
      </c>
      <c r="M52" s="41" t="str">
        <f>IF(LEFT('Review Information'!$C$8,1)="6",M51/M50, "NA")</f>
        <v>NA</v>
      </c>
    </row>
    <row r="53" spans="1:13" ht="24" customHeight="1" x14ac:dyDescent="0.3">
      <c r="G53" s="26"/>
      <c r="H53" s="41"/>
      <c r="I53" s="41"/>
      <c r="J53" s="41"/>
      <c r="K53" s="41"/>
      <c r="L53" s="41"/>
      <c r="M53" s="41"/>
    </row>
    <row r="54" spans="1:13" ht="24" customHeight="1" x14ac:dyDescent="0.3">
      <c r="B54" s="293" t="s">
        <v>36</v>
      </c>
      <c r="C54" s="294"/>
      <c r="D54" s="294"/>
      <c r="E54" s="295"/>
      <c r="H54" s="15" t="s">
        <v>108</v>
      </c>
      <c r="I54" s="43"/>
      <c r="J54" s="43"/>
      <c r="K54" s="43"/>
      <c r="L54" s="43"/>
      <c r="M54" s="43"/>
    </row>
    <row r="55" spans="1:13" ht="54" customHeight="1" x14ac:dyDescent="0.3">
      <c r="B55" s="284" t="s">
        <v>400</v>
      </c>
      <c r="C55" s="285"/>
      <c r="D55" s="285"/>
      <c r="E55" s="286"/>
      <c r="G55" s="78" t="s">
        <v>101</v>
      </c>
      <c r="H55" s="133">
        <v>7</v>
      </c>
      <c r="I55" s="133">
        <v>7</v>
      </c>
      <c r="J55" s="133">
        <v>7</v>
      </c>
      <c r="K55" s="133">
        <v>7</v>
      </c>
      <c r="L55" s="133">
        <v>7</v>
      </c>
      <c r="M55" s="133">
        <v>7</v>
      </c>
    </row>
    <row r="56" spans="1:13" ht="38.25" customHeight="1" x14ac:dyDescent="0.3">
      <c r="B56" s="296" t="s">
        <v>401</v>
      </c>
      <c r="C56" s="297"/>
      <c r="D56" s="297"/>
      <c r="E56" s="298"/>
      <c r="G56" s="78" t="s">
        <v>104</v>
      </c>
      <c r="H56" s="40">
        <f>H55 * LEFT('Review Information'!$C$9,1)</f>
        <v>14</v>
      </c>
      <c r="I56" s="40">
        <f>I55 * LEFT('Review Information'!$C$9,1)</f>
        <v>14</v>
      </c>
      <c r="J56" s="40">
        <f>J55 * LEFT('Review Information'!$C$9,1)</f>
        <v>14</v>
      </c>
      <c r="K56" s="40">
        <f>K55 * LEFT('Review Information'!$C$9,1)</f>
        <v>14</v>
      </c>
      <c r="L56" s="40">
        <f>L55 * LEFT('Review Information'!$C$9,1)</f>
        <v>14</v>
      </c>
      <c r="M56" s="40">
        <f>M55 * LEFT('Review Information'!$C$9,1)</f>
        <v>14</v>
      </c>
    </row>
    <row r="57" spans="1:13" ht="33" customHeight="1" x14ac:dyDescent="0.3">
      <c r="B57" s="287" t="s">
        <v>74</v>
      </c>
      <c r="C57" s="288"/>
      <c r="D57" s="288"/>
      <c r="E57" s="289"/>
      <c r="G57" s="78" t="s">
        <v>75</v>
      </c>
      <c r="H57" s="42" t="str">
        <f>IF(LEFT('Review Information'!$C$8,1)="1",SUM(LEFT($E$14,1),LEFT($E$16,1),LEFT($E$17,1),LEFT($E$18,1),LEFT($E$19,1),LEFT($E$20,1),LEFT($E$21,1)),"NA")</f>
        <v>NA</v>
      </c>
      <c r="I57" s="42" t="str">
        <f>IF(LEFT('Review Information'!$C$8,1)="2",SUM(LEFT($E$14,1),LEFT($E$16,1),LEFT($E$17,1),LEFT($E$18,1),LEFT($E$19,1),LEFT($E$20,1),LEFT($E$21,1)),"NA")</f>
        <v>NA</v>
      </c>
      <c r="J57" s="42" t="str">
        <f>IF(LEFT('Review Information'!$C$8,1)="3",SUM(LEFT($E$14,1),LEFT($E$16,1),LEFT($E$17,1),LEFT($E$18,1),LEFT($E$19,1),LEFT($E$20,1),LEFT($E$21,1)),"NA")</f>
        <v>NA</v>
      </c>
      <c r="K57" s="42" t="str">
        <f>IF(LEFT('Review Information'!$C$8,1)="4",SUM(LEFT($E$14,1),LEFT($E$16,1),LEFT($E$17,1),LEFT($E$18,1),LEFT($E$19,1),LEFT($E$20,1),LEFT($E$21,1)),"NA")</f>
        <v>NA</v>
      </c>
      <c r="L57" s="42">
        <f>IF(LEFT('Review Information'!$C$8,1)="5",SUM(LEFT($E$14,1),LEFT($E$16,1),LEFT($E$17,1),LEFT($E$18,1),LEFT($E$19,1),LEFT($E$20,1),LEFT($E$21,1)),"NA")</f>
        <v>0</v>
      </c>
      <c r="M57" s="42" t="str">
        <f>IF(LEFT('Review Information'!$C$8,1)="6",SUM(LEFT($E$14,1),LEFT($E$16,1),LEFT($E$17,1),LEFT($E$18,1),LEFT($E$19,1),LEFT($E$20,1),LEFT($E$21,1)),"NA")</f>
        <v>NA</v>
      </c>
    </row>
    <row r="58" spans="1:13" ht="24" customHeight="1" x14ac:dyDescent="0.3">
      <c r="B58" s="290" t="s">
        <v>45</v>
      </c>
      <c r="C58" s="291"/>
      <c r="D58" s="291"/>
      <c r="E58" s="292"/>
      <c r="G58" s="78" t="s">
        <v>198</v>
      </c>
      <c r="H58" s="41" t="str">
        <f>IF(LEFT('Review Information'!$C$8,1)="1",H57/H56, "NA")</f>
        <v>NA</v>
      </c>
      <c r="I58" s="41" t="str">
        <f>IF(LEFT('Review Information'!$C$8,1)="2",I57/I56, "NA")</f>
        <v>NA</v>
      </c>
      <c r="J58" s="41" t="str">
        <f>IF(LEFT('Review Information'!$C$8,1)="3",J57/J56, "NA")</f>
        <v>NA</v>
      </c>
      <c r="K58" s="41" t="str">
        <f>IF(LEFT('Review Information'!$C$8,1)="4",K57/K56, "NA")</f>
        <v>NA</v>
      </c>
      <c r="L58" s="41">
        <f>IF(LEFT('Review Information'!$C$8,1)="5",L57/L56, "NA")</f>
        <v>0</v>
      </c>
      <c r="M58" s="41" t="str">
        <f>IF(LEFT('Review Information'!$C$8,1)="6",M57/M56, "NA")</f>
        <v>NA</v>
      </c>
    </row>
    <row r="59" spans="1:13" ht="24" customHeight="1" x14ac:dyDescent="0.3">
      <c r="H59" s="11"/>
      <c r="I59" s="11"/>
      <c r="J59" s="11"/>
      <c r="K59" s="11"/>
    </row>
    <row r="60" spans="1:13" x14ac:dyDescent="0.3">
      <c r="A60" s="258" t="str">
        <f>About!A1</f>
        <v>Urban Forest Sustainability and Management Review (v6.6a Austin)</v>
      </c>
      <c r="B60" s="259"/>
      <c r="C60" s="259"/>
      <c r="D60" s="259"/>
      <c r="E60" s="259"/>
      <c r="F60" s="302"/>
      <c r="G60" s="302"/>
      <c r="H60" s="302"/>
      <c r="I60" s="302"/>
      <c r="J60" s="302"/>
      <c r="K60" s="302"/>
      <c r="L60" s="302"/>
      <c r="M60" s="302"/>
    </row>
    <row r="61" spans="1:13" x14ac:dyDescent="0.3">
      <c r="A61" s="259"/>
      <c r="B61" s="259"/>
      <c r="C61" s="259"/>
      <c r="D61" s="259"/>
      <c r="E61" s="259"/>
      <c r="F61" s="302"/>
      <c r="G61" s="302"/>
      <c r="H61" s="302"/>
      <c r="I61" s="302"/>
      <c r="J61" s="302"/>
      <c r="K61" s="302"/>
      <c r="L61" s="302"/>
      <c r="M61" s="302"/>
    </row>
  </sheetData>
  <sheetProtection selectLockedCells="1"/>
  <mergeCells count="18">
    <mergeCell ref="B52:E52"/>
    <mergeCell ref="B54:E54"/>
    <mergeCell ref="B55:E55"/>
    <mergeCell ref="B47:E47"/>
    <mergeCell ref="B48:E48"/>
    <mergeCell ref="B49:E49"/>
    <mergeCell ref="B50:E50"/>
    <mergeCell ref="B51:E51"/>
    <mergeCell ref="A1:E2"/>
    <mergeCell ref="F1:M2"/>
    <mergeCell ref="B44:E44"/>
    <mergeCell ref="B45:E45"/>
    <mergeCell ref="B46:E46"/>
    <mergeCell ref="B56:E56"/>
    <mergeCell ref="B57:E57"/>
    <mergeCell ref="B58:E58"/>
    <mergeCell ref="A60:E61"/>
    <mergeCell ref="F60:M61"/>
  </mergeCells>
  <dataValidations count="1">
    <dataValidation type="list" allowBlank="1" showInputMessage="1" showErrorMessage="1" errorTitle="Evaluation" error="You must select from the dropdown list!" promptTitle="Evaluation" prompt="Select the most appropriate management or current activity." sqref="E12:E40">
      <formula1>Evaluate</formula1>
    </dataValidation>
  </dataValidations>
  <hyperlinks>
    <hyperlink ref="M4" location="'TOC - Quick Access'!A1" display="Return to TO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47"/>
  <sheetViews>
    <sheetView zoomScale="75" zoomScaleNormal="75" workbookViewId="0">
      <selection sqref="A1:E2"/>
    </sheetView>
  </sheetViews>
  <sheetFormatPr defaultColWidth="9.109375" defaultRowHeight="14.4" x14ac:dyDescent="0.3"/>
  <cols>
    <col min="1" max="1" width="10.6640625" style="5" customWidth="1"/>
    <col min="2" max="2" width="36.109375" style="5" customWidth="1"/>
    <col min="3" max="3" width="54.88671875" style="5" customWidth="1"/>
    <col min="4" max="4" width="28.88671875" style="5" customWidth="1"/>
    <col min="5" max="5" width="39.88671875" style="5" customWidth="1"/>
    <col min="6" max="6" width="4.109375" style="5" customWidth="1"/>
    <col min="7" max="7" width="29.33203125" style="5" customWidth="1"/>
    <col min="8" max="8" width="9.88671875" style="5" customWidth="1"/>
    <col min="9" max="9" width="7.88671875" style="5" customWidth="1"/>
    <col min="10" max="11" width="7.44140625" style="5" customWidth="1"/>
    <col min="12" max="12" width="9.88671875" style="5" customWidth="1"/>
    <col min="13" max="13" width="11.6640625" style="5" customWidth="1"/>
    <col min="14" max="16384" width="9.109375" style="5"/>
  </cols>
  <sheetData>
    <row r="1" spans="1:13" x14ac:dyDescent="0.3">
      <c r="A1" s="256" t="str">
        <f>About!A1</f>
        <v>Urban Forest Sustainability and Management Review (v6.6a Austin)</v>
      </c>
      <c r="B1" s="257"/>
      <c r="C1" s="257"/>
      <c r="D1" s="257"/>
      <c r="E1" s="257"/>
      <c r="F1" s="302"/>
      <c r="G1" s="302"/>
      <c r="H1" s="302"/>
      <c r="I1" s="302"/>
      <c r="J1" s="302"/>
      <c r="K1" s="302"/>
      <c r="L1" s="302"/>
      <c r="M1" s="302"/>
    </row>
    <row r="2" spans="1:13" x14ac:dyDescent="0.3">
      <c r="A2" s="257"/>
      <c r="B2" s="257"/>
      <c r="C2" s="257"/>
      <c r="D2" s="257"/>
      <c r="E2" s="257"/>
      <c r="F2" s="302"/>
      <c r="G2" s="302"/>
      <c r="H2" s="302"/>
      <c r="I2" s="302"/>
      <c r="J2" s="302"/>
      <c r="K2" s="302"/>
      <c r="L2" s="302"/>
      <c r="M2" s="302"/>
    </row>
    <row r="3" spans="1:13" x14ac:dyDescent="0.3">
      <c r="C3" s="9"/>
      <c r="D3" s="10"/>
      <c r="H3" s="11"/>
      <c r="I3" s="11"/>
      <c r="J3" s="11"/>
      <c r="K3" s="11"/>
    </row>
    <row r="4" spans="1:13" ht="24" customHeight="1" x14ac:dyDescent="0.3">
      <c r="A4" s="12"/>
      <c r="B4" s="69" t="s">
        <v>31</v>
      </c>
      <c r="C4" s="71" t="str">
        <f>'Review Information'!C6</f>
        <v xml:space="preserve">&lt; enter the name of the city or college &gt; </v>
      </c>
      <c r="D4" s="69" t="s">
        <v>30</v>
      </c>
      <c r="E4" s="71" t="str">
        <f>'Review Information'!E6</f>
        <v>&lt; enter arborist here &gt;</v>
      </c>
      <c r="H4" s="11"/>
      <c r="I4" s="11"/>
      <c r="J4" s="11"/>
      <c r="K4" s="11"/>
      <c r="L4" s="11"/>
      <c r="M4" s="46" t="s">
        <v>115</v>
      </c>
    </row>
    <row r="5" spans="1:13" ht="24" customHeight="1" x14ac:dyDescent="0.3">
      <c r="A5" s="12"/>
      <c r="B5" s="69" t="s">
        <v>0</v>
      </c>
      <c r="C5" s="71" t="str">
        <f>'Review Information'!C7</f>
        <v>&lt; enter the team leaders name here &gt;</v>
      </c>
      <c r="D5" s="69" t="s">
        <v>29</v>
      </c>
      <c r="E5" s="73">
        <f>'Review Information'!E7</f>
        <v>42625</v>
      </c>
      <c r="H5" s="11"/>
      <c r="I5" s="11"/>
      <c r="J5" s="11"/>
      <c r="K5" s="11"/>
    </row>
    <row r="6" spans="1:13" ht="24" customHeight="1" x14ac:dyDescent="0.3">
      <c r="A6" s="12"/>
      <c r="B6" s="69" t="s">
        <v>32</v>
      </c>
      <c r="C6" s="71" t="str">
        <f>'Review Information'!C8</f>
        <v>5) Municipality</v>
      </c>
      <c r="D6" s="69"/>
      <c r="E6" s="73"/>
      <c r="H6" s="11"/>
      <c r="I6" s="11"/>
      <c r="J6" s="11"/>
      <c r="K6" s="11"/>
    </row>
    <row r="7" spans="1:13" x14ac:dyDescent="0.3">
      <c r="C7" s="9"/>
      <c r="D7" s="10"/>
      <c r="H7" s="11"/>
      <c r="I7" s="11"/>
      <c r="J7" s="11"/>
      <c r="K7" s="11"/>
    </row>
    <row r="8" spans="1:13" ht="24" customHeight="1" x14ac:dyDescent="0.3">
      <c r="A8" s="13">
        <v>10</v>
      </c>
      <c r="B8" s="66" t="s">
        <v>89</v>
      </c>
      <c r="H8" s="11"/>
      <c r="I8" s="11"/>
      <c r="J8" s="11"/>
      <c r="K8" s="11"/>
    </row>
    <row r="9" spans="1:13" ht="24" customHeight="1" x14ac:dyDescent="0.3">
      <c r="A9" s="14"/>
      <c r="H9" s="15" t="s">
        <v>106</v>
      </c>
      <c r="I9" s="16"/>
      <c r="J9" s="16"/>
      <c r="K9" s="16"/>
      <c r="L9" s="17"/>
      <c r="M9" s="17"/>
    </row>
    <row r="10" spans="1:13" ht="24" customHeight="1" x14ac:dyDescent="0.3">
      <c r="A10" s="106" t="s">
        <v>66</v>
      </c>
      <c r="B10" s="67" t="s">
        <v>67</v>
      </c>
      <c r="C10" s="67" t="s">
        <v>1</v>
      </c>
      <c r="D10" s="67" t="s">
        <v>2</v>
      </c>
      <c r="E10" s="109" t="s">
        <v>3</v>
      </c>
      <c r="F10" s="7"/>
      <c r="G10" s="7"/>
      <c r="H10" s="20" t="s">
        <v>58</v>
      </c>
      <c r="I10" s="20" t="s">
        <v>109</v>
      </c>
      <c r="J10" s="20" t="s">
        <v>63</v>
      </c>
      <c r="K10" s="20" t="s">
        <v>57</v>
      </c>
      <c r="L10" s="20" t="s">
        <v>56</v>
      </c>
      <c r="M10" s="20" t="s">
        <v>110</v>
      </c>
    </row>
    <row r="11" spans="1:13" ht="24" customHeight="1" thickBot="1" x14ac:dyDescent="0.35">
      <c r="A11" s="64">
        <f>A8</f>
        <v>10</v>
      </c>
      <c r="B11" s="22" t="s">
        <v>344</v>
      </c>
      <c r="C11" s="22"/>
      <c r="D11" s="94"/>
      <c r="E11" s="24"/>
      <c r="H11" s="11"/>
      <c r="I11" s="11"/>
      <c r="J11" s="11"/>
      <c r="K11" s="11"/>
    </row>
    <row r="12" spans="1:13" ht="36" customHeight="1" thickTop="1" thickBot="1" x14ac:dyDescent="0.35">
      <c r="A12" s="64">
        <f>$A$8 + (ROW()-11)/100</f>
        <v>10.01</v>
      </c>
      <c r="B12" s="79" t="s">
        <v>311</v>
      </c>
      <c r="C12" s="79" t="s">
        <v>312</v>
      </c>
      <c r="D12" s="124" t="s">
        <v>313</v>
      </c>
      <c r="E12" s="49" t="s">
        <v>37</v>
      </c>
      <c r="H12" s="6">
        <v>1</v>
      </c>
      <c r="I12" s="6">
        <v>1</v>
      </c>
      <c r="J12" s="6">
        <v>1</v>
      </c>
      <c r="K12" s="6">
        <v>1</v>
      </c>
      <c r="L12" s="6">
        <v>1</v>
      </c>
      <c r="M12" s="6">
        <v>1</v>
      </c>
    </row>
    <row r="13" spans="1:13" ht="36" customHeight="1" thickTop="1" thickBot="1" x14ac:dyDescent="0.35">
      <c r="A13" s="64">
        <f t="shared" ref="A13:A26" si="0">$A$8 + (ROW()-11)/100</f>
        <v>10.02</v>
      </c>
      <c r="B13" s="79" t="s">
        <v>314</v>
      </c>
      <c r="C13" s="79" t="s">
        <v>315</v>
      </c>
      <c r="D13" s="126"/>
      <c r="E13" s="49" t="s">
        <v>37</v>
      </c>
      <c r="H13" s="6">
        <v>1</v>
      </c>
      <c r="I13" s="6">
        <v>1</v>
      </c>
      <c r="J13" s="6">
        <v>1</v>
      </c>
      <c r="K13" s="6">
        <v>1</v>
      </c>
      <c r="L13" s="6">
        <v>1</v>
      </c>
      <c r="M13" s="6">
        <v>1</v>
      </c>
    </row>
    <row r="14" spans="1:13" ht="36" customHeight="1" thickTop="1" thickBot="1" x14ac:dyDescent="0.35">
      <c r="A14" s="64">
        <f t="shared" si="0"/>
        <v>10.029999999999999</v>
      </c>
      <c r="B14" s="79" t="s">
        <v>316</v>
      </c>
      <c r="C14" s="79" t="s">
        <v>317</v>
      </c>
      <c r="D14" s="127" t="s">
        <v>318</v>
      </c>
      <c r="E14" s="49" t="s">
        <v>37</v>
      </c>
      <c r="H14" s="6">
        <v>0</v>
      </c>
      <c r="I14" s="6">
        <v>0</v>
      </c>
      <c r="J14" s="6">
        <v>0</v>
      </c>
      <c r="K14" s="6">
        <v>1</v>
      </c>
      <c r="L14" s="6">
        <v>1</v>
      </c>
      <c r="M14" s="6">
        <v>1</v>
      </c>
    </row>
    <row r="15" spans="1:13" ht="36" customHeight="1" thickTop="1" thickBot="1" x14ac:dyDescent="0.35">
      <c r="A15" s="64">
        <f t="shared" si="0"/>
        <v>10.039999999999999</v>
      </c>
      <c r="B15" s="79" t="s">
        <v>319</v>
      </c>
      <c r="C15" s="79" t="s">
        <v>320</v>
      </c>
      <c r="D15" s="124"/>
      <c r="E15" s="49" t="s">
        <v>37</v>
      </c>
      <c r="H15" s="6">
        <v>1</v>
      </c>
      <c r="I15" s="6">
        <v>1</v>
      </c>
      <c r="J15" s="6">
        <v>1</v>
      </c>
      <c r="K15" s="6">
        <v>1</v>
      </c>
      <c r="L15" s="6">
        <v>1</v>
      </c>
      <c r="M15" s="6">
        <v>1</v>
      </c>
    </row>
    <row r="16" spans="1:13" ht="48" customHeight="1" thickTop="1" thickBot="1" x14ac:dyDescent="0.35">
      <c r="A16" s="64">
        <f t="shared" si="0"/>
        <v>10.050000000000001</v>
      </c>
      <c r="B16" s="79" t="s">
        <v>321</v>
      </c>
      <c r="C16" s="79" t="s">
        <v>322</v>
      </c>
      <c r="D16" s="124" t="s">
        <v>323</v>
      </c>
      <c r="E16" s="3" t="s">
        <v>37</v>
      </c>
      <c r="H16" s="6">
        <v>1</v>
      </c>
      <c r="I16" s="6">
        <v>1</v>
      </c>
      <c r="J16" s="6">
        <v>1</v>
      </c>
      <c r="K16" s="6">
        <v>1</v>
      </c>
      <c r="L16" s="6">
        <v>1</v>
      </c>
      <c r="M16" s="6">
        <v>1</v>
      </c>
    </row>
    <row r="17" spans="1:13" ht="36" customHeight="1" thickTop="1" thickBot="1" x14ac:dyDescent="0.35">
      <c r="A17" s="64">
        <f t="shared" si="0"/>
        <v>10.06</v>
      </c>
      <c r="B17" s="79" t="s">
        <v>324</v>
      </c>
      <c r="C17" s="79" t="s">
        <v>325</v>
      </c>
      <c r="D17" s="79"/>
      <c r="E17" s="128"/>
      <c r="H17" s="129"/>
      <c r="I17" s="129"/>
      <c r="J17" s="129"/>
      <c r="K17" s="129"/>
      <c r="L17" s="129"/>
      <c r="M17" s="129"/>
    </row>
    <row r="18" spans="1:13" ht="36" customHeight="1" thickTop="1" thickBot="1" x14ac:dyDescent="0.35">
      <c r="A18" s="64">
        <f t="shared" si="0"/>
        <v>10.07</v>
      </c>
      <c r="B18" s="130" t="s">
        <v>326</v>
      </c>
      <c r="C18" s="79" t="s">
        <v>327</v>
      </c>
      <c r="D18" s="124"/>
      <c r="E18" s="3" t="s">
        <v>37</v>
      </c>
      <c r="H18" s="6">
        <v>1</v>
      </c>
      <c r="I18" s="6">
        <v>1</v>
      </c>
      <c r="J18" s="6">
        <v>1</v>
      </c>
      <c r="K18" s="6">
        <v>1</v>
      </c>
      <c r="L18" s="6">
        <v>1</v>
      </c>
      <c r="M18" s="6">
        <v>1</v>
      </c>
    </row>
    <row r="19" spans="1:13" ht="36" customHeight="1" thickTop="1" thickBot="1" x14ac:dyDescent="0.35">
      <c r="A19" s="64">
        <f t="shared" si="0"/>
        <v>10.08</v>
      </c>
      <c r="B19" s="130" t="s">
        <v>328</v>
      </c>
      <c r="C19" s="79" t="s">
        <v>329</v>
      </c>
      <c r="D19" s="124"/>
      <c r="E19" s="3" t="s">
        <v>37</v>
      </c>
      <c r="H19" s="6">
        <v>1</v>
      </c>
      <c r="I19" s="6">
        <v>1</v>
      </c>
      <c r="J19" s="6">
        <v>1</v>
      </c>
      <c r="K19" s="6">
        <v>1</v>
      </c>
      <c r="L19" s="6">
        <v>1</v>
      </c>
      <c r="M19" s="6">
        <v>1</v>
      </c>
    </row>
    <row r="20" spans="1:13" ht="36" customHeight="1" thickTop="1" thickBot="1" x14ac:dyDescent="0.35">
      <c r="A20" s="64">
        <f t="shared" si="0"/>
        <v>10.09</v>
      </c>
      <c r="B20" s="130" t="s">
        <v>330</v>
      </c>
      <c r="C20" s="79" t="s">
        <v>331</v>
      </c>
      <c r="D20" s="124"/>
      <c r="E20" s="3" t="s">
        <v>37</v>
      </c>
      <c r="H20" s="6">
        <v>1</v>
      </c>
      <c r="I20" s="6">
        <v>1</v>
      </c>
      <c r="J20" s="6">
        <v>1</v>
      </c>
      <c r="K20" s="6">
        <v>1</v>
      </c>
      <c r="L20" s="6">
        <v>1</v>
      </c>
      <c r="M20" s="6">
        <v>1</v>
      </c>
    </row>
    <row r="21" spans="1:13" ht="36" customHeight="1" thickTop="1" thickBot="1" x14ac:dyDescent="0.35">
      <c r="A21" s="64">
        <f t="shared" si="0"/>
        <v>10.1</v>
      </c>
      <c r="B21" s="130" t="s">
        <v>332</v>
      </c>
      <c r="C21" s="79" t="s">
        <v>333</v>
      </c>
      <c r="D21" s="126"/>
      <c r="E21" s="3" t="s">
        <v>37</v>
      </c>
      <c r="H21" s="6">
        <v>1</v>
      </c>
      <c r="I21" s="6">
        <v>1</v>
      </c>
      <c r="J21" s="6">
        <v>1</v>
      </c>
      <c r="K21" s="6">
        <v>1</v>
      </c>
      <c r="L21" s="6">
        <v>1</v>
      </c>
      <c r="M21" s="6">
        <v>1</v>
      </c>
    </row>
    <row r="22" spans="1:13" ht="36" customHeight="1" thickTop="1" thickBot="1" x14ac:dyDescent="0.35">
      <c r="A22" s="64">
        <f t="shared" si="0"/>
        <v>10.11</v>
      </c>
      <c r="B22" s="79" t="s">
        <v>334</v>
      </c>
      <c r="C22" s="79" t="s">
        <v>335</v>
      </c>
      <c r="D22" s="124" t="s">
        <v>336</v>
      </c>
      <c r="E22" s="49" t="s">
        <v>37</v>
      </c>
      <c r="H22" s="6">
        <v>1</v>
      </c>
      <c r="I22" s="6">
        <v>1</v>
      </c>
      <c r="J22" s="6">
        <v>1</v>
      </c>
      <c r="K22" s="6">
        <v>1</v>
      </c>
      <c r="L22" s="6">
        <v>1</v>
      </c>
      <c r="M22" s="6">
        <v>1</v>
      </c>
    </row>
    <row r="23" spans="1:13" ht="36" customHeight="1" thickTop="1" thickBot="1" x14ac:dyDescent="0.35">
      <c r="A23" s="64">
        <f t="shared" si="0"/>
        <v>10.119999999999999</v>
      </c>
      <c r="B23" s="249" t="s">
        <v>490</v>
      </c>
      <c r="C23" s="249" t="s">
        <v>491</v>
      </c>
      <c r="D23" s="250" t="s">
        <v>492</v>
      </c>
      <c r="E23" s="3" t="s">
        <v>37</v>
      </c>
      <c r="H23" s="6">
        <v>1</v>
      </c>
      <c r="I23" s="6">
        <v>1</v>
      </c>
      <c r="J23" s="6">
        <v>1</v>
      </c>
      <c r="K23" s="6">
        <v>1</v>
      </c>
      <c r="L23" s="6">
        <v>1</v>
      </c>
      <c r="M23" s="6">
        <v>1</v>
      </c>
    </row>
    <row r="24" spans="1:13" ht="36" customHeight="1" thickTop="1" thickBot="1" x14ac:dyDescent="0.35">
      <c r="A24" s="64">
        <f t="shared" si="0"/>
        <v>10.130000000000001</v>
      </c>
      <c r="B24" s="79" t="s">
        <v>337</v>
      </c>
      <c r="C24" s="79" t="s">
        <v>338</v>
      </c>
      <c r="D24" s="124"/>
      <c r="E24" s="3" t="s">
        <v>37</v>
      </c>
      <c r="H24" s="6">
        <v>1</v>
      </c>
      <c r="I24" s="6">
        <v>1</v>
      </c>
      <c r="J24" s="6">
        <v>1</v>
      </c>
      <c r="K24" s="6">
        <v>1</v>
      </c>
      <c r="L24" s="6">
        <v>1</v>
      </c>
      <c r="M24" s="6">
        <v>1</v>
      </c>
    </row>
    <row r="25" spans="1:13" ht="36" customHeight="1" thickTop="1" thickBot="1" x14ac:dyDescent="0.35">
      <c r="A25" s="64">
        <f t="shared" si="0"/>
        <v>10.14</v>
      </c>
      <c r="B25" s="131" t="s">
        <v>339</v>
      </c>
      <c r="C25" s="131" t="s">
        <v>340</v>
      </c>
      <c r="D25" s="127" t="s">
        <v>341</v>
      </c>
      <c r="E25" s="3" t="s">
        <v>37</v>
      </c>
      <c r="H25" s="6">
        <v>1</v>
      </c>
      <c r="I25" s="6">
        <v>1</v>
      </c>
      <c r="J25" s="6">
        <v>1</v>
      </c>
      <c r="K25" s="6">
        <v>1</v>
      </c>
      <c r="L25" s="6">
        <v>1</v>
      </c>
      <c r="M25" s="6">
        <v>1</v>
      </c>
    </row>
    <row r="26" spans="1:13" ht="36" customHeight="1" thickTop="1" thickBot="1" x14ac:dyDescent="0.35">
      <c r="A26" s="64">
        <f t="shared" si="0"/>
        <v>10.15</v>
      </c>
      <c r="B26" s="79" t="s">
        <v>342</v>
      </c>
      <c r="C26" s="79" t="s">
        <v>343</v>
      </c>
      <c r="D26" s="132"/>
      <c r="E26" s="3" t="s">
        <v>37</v>
      </c>
      <c r="H26" s="6">
        <v>1</v>
      </c>
      <c r="I26" s="6">
        <v>1</v>
      </c>
      <c r="J26" s="6">
        <v>1</v>
      </c>
      <c r="K26" s="6">
        <v>1</v>
      </c>
      <c r="L26" s="6">
        <v>1</v>
      </c>
      <c r="M26" s="6">
        <v>1</v>
      </c>
    </row>
    <row r="27" spans="1:13" ht="24" customHeight="1" x14ac:dyDescent="0.3">
      <c r="H27" s="11"/>
      <c r="I27" s="11"/>
      <c r="J27" s="11"/>
      <c r="K27" s="11"/>
    </row>
    <row r="28" spans="1:13" ht="24" customHeight="1" x14ac:dyDescent="0.35">
      <c r="B28" s="188" t="str">
        <f xml:space="preserve"> "Review Team Notes: " &amp; B8</f>
        <v>Review Team Notes: Community</v>
      </c>
      <c r="F28" s="25"/>
      <c r="G28" s="26" t="s">
        <v>223</v>
      </c>
      <c r="H28" s="40">
        <f t="shared" ref="H28:M28" si="1">SUM(H12:H26)</f>
        <v>13</v>
      </c>
      <c r="I28" s="40">
        <f t="shared" si="1"/>
        <v>13</v>
      </c>
      <c r="J28" s="40">
        <f t="shared" si="1"/>
        <v>13</v>
      </c>
      <c r="K28" s="40">
        <f t="shared" si="1"/>
        <v>14</v>
      </c>
      <c r="L28" s="40">
        <f t="shared" si="1"/>
        <v>14</v>
      </c>
      <c r="M28" s="40">
        <f t="shared" si="1"/>
        <v>14</v>
      </c>
    </row>
    <row r="29" spans="1:13" ht="24" customHeight="1" x14ac:dyDescent="0.3">
      <c r="F29" s="27"/>
      <c r="G29" s="26" t="s">
        <v>99</v>
      </c>
      <c r="H29" s="40">
        <f>H28 * LEFT('Review Information'!$C$9,1)</f>
        <v>26</v>
      </c>
      <c r="I29" s="40">
        <f>I28 * LEFT('Review Information'!$C$9,1)</f>
        <v>26</v>
      </c>
      <c r="J29" s="40">
        <f>J28 * LEFT('Review Information'!$C$9,1)</f>
        <v>26</v>
      </c>
      <c r="K29" s="40">
        <f>K28 * LEFT('Review Information'!$C$9,1)</f>
        <v>28</v>
      </c>
      <c r="L29" s="40">
        <f>L28 * LEFT('Review Information'!$C$9,1)</f>
        <v>28</v>
      </c>
      <c r="M29" s="40">
        <f>M28 * LEFT('Review Information'!$C$9,1)</f>
        <v>28</v>
      </c>
    </row>
    <row r="30" spans="1:13" ht="24" customHeight="1" x14ac:dyDescent="0.3">
      <c r="B30" s="299" t="s">
        <v>413</v>
      </c>
      <c r="C30" s="300"/>
      <c r="D30" s="300"/>
      <c r="E30" s="301"/>
      <c r="F30" s="27"/>
      <c r="G30" s="26" t="s">
        <v>100</v>
      </c>
      <c r="H30" s="18" t="str">
        <f>IF(LEFT('Review Information'!$C$8,1)="1",SUM(LEFT($E$12,1), LEFT($E$13,1),LEFT($E$14,1),LEFT($E$15,1),LEFT($E$16,1),LEFT($E$18,1),LEFT($E$19,1),LEFT($E$20,1),LEFT($E$21,1),LEFT($E$22,1),LEFT($E$25,1),LEFT($E$26,1)),"NA")</f>
        <v>NA</v>
      </c>
      <c r="I30" s="18" t="str">
        <f>IF(LEFT('Review Information'!$C$8,1)="2",SUM(LEFT($E$12,1), LEFT($E$13,1),LEFT($E$14,1),LEFT($E$15,1),LEFT($E$16,1),LEFT($E$18,1),LEFT($E$19,1),LEFT($E$20,1),LEFT($E$21,1),LEFT($E$22,1),LEFT($E$25,1),LEFT($E$26,1)),"NA")</f>
        <v>NA</v>
      </c>
      <c r="J30" s="18" t="str">
        <f>IF(LEFT('Review Information'!$C$8,1)="3",SUM(LEFT($E$12,1), LEFT($E$13,1),LEFT($E$14,1),LEFT($E$15,1),LEFT($E$16,1),LEFT($E$18,1),LEFT($E$19,1),LEFT($E$20,1),LEFT($E$21,1),LEFT($E$22,1),LEFT($E$25,1),LEFT($E$26,1)),"NA")</f>
        <v>NA</v>
      </c>
      <c r="K30" s="18" t="str">
        <f>IF(LEFT('Review Information'!$C$8,1)="4",SUM(LEFT($E$12,1), LEFT($E$13,1),LEFT($E$14,1),LEFT($E$15,1),LEFT($E$16,1),LEFT($E$18,1),LEFT($E$19,1),LEFT($E$20,1),LEFT($E$21,1),LEFT($E$22,1),LEFT($E$25,1),LEFT($E$26,1)),"NA")</f>
        <v>NA</v>
      </c>
      <c r="L30" s="18">
        <f>IF(LEFT('Review Information'!$C$8,1)="5",SUM(LEFT($E$12,1), LEFT($E$13,1),LEFT($E$14,1),LEFT($E$15,1),LEFT($E$16,1),LEFT($E$18,1),LEFT($E$19,1),LEFT($E$20,1),LEFT($E$21,1),LEFT($E$22,1),LEFT($E$25,1),LEFT($E$26,1)),"NA")</f>
        <v>0</v>
      </c>
      <c r="M30" s="18" t="str">
        <f>IF(LEFT('Review Information'!$C$8,1)="6",SUM(LEFT($E$12,1), LEFT($E$13,1),LEFT($E$14,1),LEFT($E$15,1),LEFT($E$16,1),LEFT($E$18,1),LEFT($E$19,1),LEFT($E$20,1),LEFT($E$21,1),LEFT($E$22,1),LEFT($E$25,1),LEFT($E$26,1)),"NA")</f>
        <v>NA</v>
      </c>
    </row>
    <row r="31" spans="1:13" ht="24" customHeight="1" x14ac:dyDescent="0.3">
      <c r="B31" s="278"/>
      <c r="C31" s="279"/>
      <c r="D31" s="279"/>
      <c r="E31" s="280"/>
      <c r="F31" s="27"/>
      <c r="G31" s="26" t="s">
        <v>105</v>
      </c>
      <c r="H31" s="41" t="str">
        <f>IF(LEFT('Review Information'!$C$8,1)="1",H$30/H$29,"NA")</f>
        <v>NA</v>
      </c>
      <c r="I31" s="41" t="str">
        <f>IF(LEFT('Review Information'!$C$8,1)="2",I$30/I$29,"NA")</f>
        <v>NA</v>
      </c>
      <c r="J31" s="41" t="str">
        <f>IF(LEFT('Review Information'!$C$8,1)="3",J$30/J$29,"NA")</f>
        <v>NA</v>
      </c>
      <c r="K31" s="41" t="str">
        <f>IF(LEFT('Review Information'!$C$8,1)="4",K$30/K$29,"NA")</f>
        <v>NA</v>
      </c>
      <c r="L31" s="41">
        <f>IF(LEFT('Review Information'!$C$8,1)="5",L$30/L$29,"NA")</f>
        <v>0</v>
      </c>
      <c r="M31" s="41" t="str">
        <f>IF(LEFT('Review Information'!$C$8,1)="6",M$30/M$29,"NA")</f>
        <v>NA</v>
      </c>
    </row>
    <row r="32" spans="1:13" ht="24" customHeight="1" x14ac:dyDescent="0.3">
      <c r="B32" s="278"/>
      <c r="C32" s="279"/>
      <c r="D32" s="279"/>
      <c r="E32" s="280"/>
      <c r="H32" s="11"/>
      <c r="I32" s="11"/>
      <c r="J32" s="11"/>
      <c r="K32" s="11"/>
    </row>
    <row r="33" spans="1:13" ht="24" customHeight="1" x14ac:dyDescent="0.3">
      <c r="B33" s="278"/>
      <c r="C33" s="279"/>
      <c r="D33" s="279"/>
      <c r="E33" s="280"/>
      <c r="H33" s="11"/>
      <c r="I33" s="11"/>
      <c r="J33" s="11"/>
      <c r="K33" s="11"/>
    </row>
    <row r="34" spans="1:13" ht="24" customHeight="1" x14ac:dyDescent="0.3">
      <c r="B34" s="278"/>
      <c r="C34" s="279"/>
      <c r="D34" s="279"/>
      <c r="E34" s="280"/>
      <c r="H34" s="15" t="s">
        <v>107</v>
      </c>
      <c r="I34" s="16"/>
      <c r="J34" s="16"/>
      <c r="K34" s="16"/>
      <c r="L34" s="17"/>
      <c r="M34" s="17"/>
    </row>
    <row r="35" spans="1:13" ht="24" customHeight="1" x14ac:dyDescent="0.3">
      <c r="B35" s="278"/>
      <c r="C35" s="279"/>
      <c r="D35" s="279"/>
      <c r="E35" s="280"/>
      <c r="G35" s="77" t="s">
        <v>102</v>
      </c>
      <c r="H35" s="125">
        <v>0</v>
      </c>
      <c r="I35" s="125">
        <v>0</v>
      </c>
      <c r="J35" s="125">
        <v>0</v>
      </c>
      <c r="K35" s="125">
        <v>0</v>
      </c>
      <c r="L35" s="125">
        <v>0</v>
      </c>
      <c r="M35" s="125">
        <v>0</v>
      </c>
    </row>
    <row r="36" spans="1:13" ht="24" customHeight="1" x14ac:dyDescent="0.3">
      <c r="B36" s="278"/>
      <c r="C36" s="279"/>
      <c r="D36" s="279"/>
      <c r="E36" s="280"/>
      <c r="G36" s="77" t="s">
        <v>103</v>
      </c>
      <c r="H36" s="40">
        <f>H35 * LEFT('Review Information'!$C$9,1)</f>
        <v>0</v>
      </c>
      <c r="I36" s="40">
        <f>I35 * LEFT('Review Information'!$C$9,1)</f>
        <v>0</v>
      </c>
      <c r="J36" s="40">
        <f>J35 * LEFT('Review Information'!$C$9,1)</f>
        <v>0</v>
      </c>
      <c r="K36" s="40">
        <f>K35 * LEFT('Review Information'!$C$9,1)</f>
        <v>0</v>
      </c>
      <c r="L36" s="40">
        <f>L35 * LEFT('Review Information'!$C$9,1)</f>
        <v>0</v>
      </c>
      <c r="M36" s="40">
        <f>M35 * LEFT('Review Information'!$C$9,1)</f>
        <v>0</v>
      </c>
    </row>
    <row r="37" spans="1:13" ht="24" customHeight="1" x14ac:dyDescent="0.3">
      <c r="B37" s="278"/>
      <c r="C37" s="279"/>
      <c r="D37" s="279"/>
      <c r="E37" s="280"/>
      <c r="G37" s="77" t="s">
        <v>73</v>
      </c>
      <c r="H37" s="42" t="s">
        <v>149</v>
      </c>
      <c r="I37" s="42" t="s">
        <v>149</v>
      </c>
      <c r="J37" s="42" t="s">
        <v>149</v>
      </c>
      <c r="K37" s="42" t="s">
        <v>149</v>
      </c>
      <c r="L37" s="42" t="s">
        <v>149</v>
      </c>
      <c r="M37" s="42" t="s">
        <v>149</v>
      </c>
    </row>
    <row r="38" spans="1:13" ht="24" customHeight="1" x14ac:dyDescent="0.3">
      <c r="B38" s="281"/>
      <c r="C38" s="282"/>
      <c r="D38" s="282"/>
      <c r="E38" s="283"/>
      <c r="G38" s="77" t="s">
        <v>197</v>
      </c>
      <c r="H38" s="42" t="s">
        <v>149</v>
      </c>
      <c r="I38" s="42" t="s">
        <v>149</v>
      </c>
      <c r="J38" s="42" t="s">
        <v>149</v>
      </c>
      <c r="K38" s="42" t="s">
        <v>149</v>
      </c>
      <c r="L38" s="42" t="s">
        <v>149</v>
      </c>
      <c r="M38" s="42" t="s">
        <v>149</v>
      </c>
    </row>
    <row r="39" spans="1:13" ht="24" customHeight="1" x14ac:dyDescent="0.3">
      <c r="G39" s="26"/>
      <c r="H39" s="41"/>
      <c r="I39" s="41"/>
      <c r="J39" s="41"/>
      <c r="K39" s="41"/>
      <c r="L39" s="41"/>
      <c r="M39" s="41"/>
    </row>
    <row r="40" spans="1:13" ht="24" customHeight="1" x14ac:dyDescent="0.3">
      <c r="B40" s="293" t="s">
        <v>36</v>
      </c>
      <c r="C40" s="294"/>
      <c r="D40" s="294"/>
      <c r="E40" s="295"/>
      <c r="H40" s="15" t="s">
        <v>108</v>
      </c>
      <c r="I40" s="43"/>
      <c r="J40" s="43"/>
      <c r="K40" s="43"/>
      <c r="L40" s="43"/>
      <c r="M40" s="43"/>
    </row>
    <row r="41" spans="1:13" ht="54" customHeight="1" x14ac:dyDescent="0.3">
      <c r="B41" s="284" t="s">
        <v>400</v>
      </c>
      <c r="C41" s="285"/>
      <c r="D41" s="285"/>
      <c r="E41" s="286"/>
      <c r="G41" s="78" t="s">
        <v>101</v>
      </c>
      <c r="H41" s="133">
        <v>0</v>
      </c>
      <c r="I41" s="133">
        <v>0</v>
      </c>
      <c r="J41" s="133">
        <v>0</v>
      </c>
      <c r="K41" s="133">
        <v>0</v>
      </c>
      <c r="L41" s="133">
        <v>0</v>
      </c>
      <c r="M41" s="133">
        <v>0</v>
      </c>
    </row>
    <row r="42" spans="1:13" ht="38.25" customHeight="1" x14ac:dyDescent="0.3">
      <c r="B42" s="296" t="s">
        <v>401</v>
      </c>
      <c r="C42" s="297"/>
      <c r="D42" s="297"/>
      <c r="E42" s="298"/>
      <c r="G42" s="78" t="s">
        <v>104</v>
      </c>
      <c r="H42" s="40">
        <f>H41 * LEFT('Review Information'!$C$9,1)</f>
        <v>0</v>
      </c>
      <c r="I42" s="40">
        <f>I41 * LEFT('Review Information'!$C$9,1)</f>
        <v>0</v>
      </c>
      <c r="J42" s="40">
        <f>J41 * LEFT('Review Information'!$C$9,1)</f>
        <v>0</v>
      </c>
      <c r="K42" s="40">
        <f>K41 * LEFT('Review Information'!$C$9,1)</f>
        <v>0</v>
      </c>
      <c r="L42" s="40">
        <f>L41 * LEFT('Review Information'!$C$9,1)</f>
        <v>0</v>
      </c>
      <c r="M42" s="40">
        <f>M41 * LEFT('Review Information'!$C$9,1)</f>
        <v>0</v>
      </c>
    </row>
    <row r="43" spans="1:13" ht="33" customHeight="1" x14ac:dyDescent="0.3">
      <c r="B43" s="287" t="s">
        <v>74</v>
      </c>
      <c r="C43" s="288"/>
      <c r="D43" s="288"/>
      <c r="E43" s="289"/>
      <c r="G43" s="78" t="s">
        <v>75</v>
      </c>
      <c r="H43" s="42" t="s">
        <v>149</v>
      </c>
      <c r="I43" s="42" t="s">
        <v>149</v>
      </c>
      <c r="J43" s="42" t="s">
        <v>149</v>
      </c>
      <c r="K43" s="42" t="s">
        <v>149</v>
      </c>
      <c r="L43" s="42" t="s">
        <v>149</v>
      </c>
      <c r="M43" s="42" t="s">
        <v>149</v>
      </c>
    </row>
    <row r="44" spans="1:13" ht="24" customHeight="1" x14ac:dyDescent="0.3">
      <c r="B44" s="290" t="s">
        <v>45</v>
      </c>
      <c r="C44" s="291"/>
      <c r="D44" s="291"/>
      <c r="E44" s="292"/>
      <c r="G44" s="78" t="s">
        <v>198</v>
      </c>
      <c r="H44" s="42" t="s">
        <v>149</v>
      </c>
      <c r="I44" s="42" t="s">
        <v>149</v>
      </c>
      <c r="J44" s="42" t="s">
        <v>149</v>
      </c>
      <c r="K44" s="42" t="s">
        <v>149</v>
      </c>
      <c r="L44" s="42" t="s">
        <v>149</v>
      </c>
      <c r="M44" s="42" t="s">
        <v>149</v>
      </c>
    </row>
    <row r="45" spans="1:13" ht="24" customHeight="1" x14ac:dyDescent="0.3">
      <c r="H45" s="11"/>
      <c r="I45" s="11"/>
      <c r="J45" s="11"/>
      <c r="K45" s="11"/>
    </row>
    <row r="46" spans="1:13" x14ac:dyDescent="0.3">
      <c r="A46" s="258" t="str">
        <f>About!A1</f>
        <v>Urban Forest Sustainability and Management Review (v6.6a Austin)</v>
      </c>
      <c r="B46" s="259"/>
      <c r="C46" s="259"/>
      <c r="D46" s="259"/>
      <c r="E46" s="259"/>
      <c r="F46" s="302"/>
      <c r="G46" s="302"/>
      <c r="H46" s="302"/>
      <c r="I46" s="302"/>
      <c r="J46" s="302"/>
      <c r="K46" s="302"/>
      <c r="L46" s="302"/>
      <c r="M46" s="302"/>
    </row>
    <row r="47" spans="1:13" x14ac:dyDescent="0.3">
      <c r="A47" s="259"/>
      <c r="B47" s="259"/>
      <c r="C47" s="259"/>
      <c r="D47" s="259"/>
      <c r="E47" s="259"/>
      <c r="F47" s="302"/>
      <c r="G47" s="302"/>
      <c r="H47" s="302"/>
      <c r="I47" s="302"/>
      <c r="J47" s="302"/>
      <c r="K47" s="302"/>
      <c r="L47" s="302"/>
      <c r="M47" s="302"/>
    </row>
  </sheetData>
  <sheetProtection selectLockedCells="1"/>
  <mergeCells count="18">
    <mergeCell ref="B38:E38"/>
    <mergeCell ref="B40:E40"/>
    <mergeCell ref="B41:E41"/>
    <mergeCell ref="B33:E33"/>
    <mergeCell ref="B34:E34"/>
    <mergeCell ref="B35:E35"/>
    <mergeCell ref="B36:E36"/>
    <mergeCell ref="B37:E37"/>
    <mergeCell ref="A1:E2"/>
    <mergeCell ref="F1:M2"/>
    <mergeCell ref="B30:E30"/>
    <mergeCell ref="B31:E31"/>
    <mergeCell ref="B32:E32"/>
    <mergeCell ref="B42:E42"/>
    <mergeCell ref="B43:E43"/>
    <mergeCell ref="B44:E44"/>
    <mergeCell ref="A46:E47"/>
    <mergeCell ref="F46:M47"/>
  </mergeCells>
  <dataValidations count="1">
    <dataValidation type="list" allowBlank="1" showInputMessage="1" showErrorMessage="1" errorTitle="Evaluation" error="You must select from the dropdown list!" promptTitle="Evaluation" prompt="Select the most appropriate management or current activity." sqref="E12:E26">
      <formula1>Evaluate</formula1>
    </dataValidation>
  </dataValidations>
  <hyperlinks>
    <hyperlink ref="M4" location="'TOC - Quick Access'!A1" display="Return to TOC"/>
    <hyperlink ref="D14" r:id="rId1" display="http://neighborwoodsmonth.org/"/>
    <hyperlink ref="D25" r:id="rId2" display="http://www.arborday.org/programs/treecityUSA/index.cfm"/>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42"/>
  <sheetViews>
    <sheetView topLeftCell="A7" zoomScale="75" zoomScaleNormal="75" workbookViewId="0">
      <selection activeCell="C23" sqref="C23"/>
    </sheetView>
  </sheetViews>
  <sheetFormatPr defaultRowHeight="14.4" x14ac:dyDescent="0.3"/>
  <cols>
    <col min="1" max="1" width="10.6640625" customWidth="1"/>
    <col min="2" max="2" width="36.109375" customWidth="1"/>
    <col min="3" max="3" width="54.88671875" customWidth="1"/>
    <col min="4" max="4" width="28.109375" customWidth="1"/>
    <col min="5" max="5" width="39.88671875" customWidth="1"/>
    <col min="6" max="6" width="4" customWidth="1"/>
    <col min="7" max="7" width="29" customWidth="1"/>
    <col min="8" max="8" width="9.88671875" customWidth="1"/>
    <col min="9" max="9" width="7.88671875" customWidth="1"/>
    <col min="10" max="11" width="7.44140625" customWidth="1"/>
    <col min="12" max="12" width="9.88671875" customWidth="1"/>
    <col min="13" max="13" width="11.6640625" customWidth="1"/>
  </cols>
  <sheetData>
    <row r="1" spans="1:13" x14ac:dyDescent="0.3">
      <c r="A1" s="256" t="str">
        <f>About!A1</f>
        <v>Urban Forest Sustainability and Management Review (v6.6a Austin)</v>
      </c>
      <c r="B1" s="257"/>
      <c r="C1" s="257"/>
      <c r="D1" s="257"/>
      <c r="E1" s="257"/>
      <c r="F1" s="302"/>
      <c r="G1" s="302"/>
      <c r="H1" s="302"/>
      <c r="I1" s="302"/>
      <c r="J1" s="302"/>
      <c r="K1" s="302"/>
      <c r="L1" s="302"/>
      <c r="M1" s="302"/>
    </row>
    <row r="2" spans="1:13" x14ac:dyDescent="0.3">
      <c r="A2" s="257"/>
      <c r="B2" s="257"/>
      <c r="C2" s="257"/>
      <c r="D2" s="257"/>
      <c r="E2" s="257"/>
      <c r="F2" s="302"/>
      <c r="G2" s="302"/>
      <c r="H2" s="302"/>
      <c r="I2" s="302"/>
      <c r="J2" s="302"/>
      <c r="K2" s="302"/>
      <c r="L2" s="302"/>
      <c r="M2" s="302"/>
    </row>
    <row r="3" spans="1:13" x14ac:dyDescent="0.3">
      <c r="A3" s="5"/>
      <c r="B3" s="5"/>
      <c r="C3" s="9"/>
      <c r="D3" s="10"/>
      <c r="E3" s="5"/>
      <c r="F3" s="5"/>
      <c r="G3" s="5"/>
      <c r="H3" s="11"/>
      <c r="I3" s="11"/>
      <c r="J3" s="11"/>
      <c r="K3" s="11"/>
      <c r="L3" s="5"/>
      <c r="M3" s="5"/>
    </row>
    <row r="4" spans="1:13" ht="24" customHeight="1" x14ac:dyDescent="0.3">
      <c r="A4" s="12"/>
      <c r="B4" s="69" t="s">
        <v>31</v>
      </c>
      <c r="C4" s="71" t="str">
        <f>'Review Information'!C6</f>
        <v xml:space="preserve">&lt; enter the name of the city or college &gt; </v>
      </c>
      <c r="D4" s="69" t="s">
        <v>30</v>
      </c>
      <c r="E4" s="71" t="str">
        <f>'Review Information'!E6</f>
        <v>&lt; enter arborist here &gt;</v>
      </c>
      <c r="F4" s="5"/>
      <c r="G4" s="5"/>
      <c r="H4" s="11"/>
      <c r="I4" s="11"/>
      <c r="J4" s="11"/>
      <c r="K4" s="11"/>
      <c r="L4" s="11"/>
      <c r="M4" s="123" t="s">
        <v>115</v>
      </c>
    </row>
    <row r="5" spans="1:13" ht="24" customHeight="1" x14ac:dyDescent="0.3">
      <c r="A5" s="12"/>
      <c r="B5" s="69" t="s">
        <v>0</v>
      </c>
      <c r="C5" s="71" t="str">
        <f>'Review Information'!C7</f>
        <v>&lt; enter the team leaders name here &gt;</v>
      </c>
      <c r="D5" s="69" t="s">
        <v>29</v>
      </c>
      <c r="E5" s="73">
        <f>'Review Information'!E7</f>
        <v>42625</v>
      </c>
      <c r="F5" s="5"/>
      <c r="G5" s="5"/>
      <c r="H5" s="11"/>
      <c r="I5" s="11"/>
      <c r="J5" s="11"/>
      <c r="K5" s="11"/>
      <c r="L5" s="5"/>
      <c r="M5" s="5"/>
    </row>
    <row r="6" spans="1:13" ht="24" customHeight="1" x14ac:dyDescent="0.3">
      <c r="A6" s="12"/>
      <c r="B6" s="69" t="s">
        <v>32</v>
      </c>
      <c r="C6" s="71" t="str">
        <f>'Review Information'!C8</f>
        <v>5) Municipality</v>
      </c>
      <c r="D6" s="69"/>
      <c r="E6" s="73"/>
      <c r="F6" s="5"/>
      <c r="G6" s="5"/>
      <c r="H6" s="11"/>
      <c r="I6" s="11"/>
      <c r="J6" s="11"/>
      <c r="K6" s="11"/>
      <c r="L6" s="5"/>
      <c r="M6" s="5"/>
    </row>
    <row r="7" spans="1:13" x14ac:dyDescent="0.3">
      <c r="A7" s="5"/>
      <c r="B7" s="5"/>
      <c r="C7" s="9"/>
      <c r="D7" s="10"/>
      <c r="E7" s="5"/>
      <c r="F7" s="5"/>
      <c r="G7" s="5"/>
      <c r="H7" s="11"/>
      <c r="I7" s="11"/>
      <c r="J7" s="11"/>
      <c r="K7" s="11"/>
      <c r="L7" s="5"/>
      <c r="M7" s="5"/>
    </row>
    <row r="8" spans="1:13" ht="24" customHeight="1" x14ac:dyDescent="0.3">
      <c r="A8" s="13">
        <v>11</v>
      </c>
      <c r="B8" s="66" t="s">
        <v>414</v>
      </c>
      <c r="C8" s="5"/>
      <c r="D8" s="5"/>
      <c r="E8" s="5"/>
      <c r="F8" s="5"/>
      <c r="G8" s="5"/>
      <c r="H8" s="11"/>
      <c r="I8" s="11"/>
      <c r="J8" s="11"/>
      <c r="K8" s="11"/>
      <c r="L8" s="5"/>
      <c r="M8" s="5"/>
    </row>
    <row r="9" spans="1:13" ht="24" customHeight="1" x14ac:dyDescent="0.3">
      <c r="A9" s="14"/>
      <c r="B9" s="5"/>
      <c r="C9" s="5"/>
      <c r="D9" s="5"/>
      <c r="E9" s="5"/>
      <c r="F9" s="5"/>
      <c r="G9" s="5"/>
      <c r="H9" s="15" t="s">
        <v>106</v>
      </c>
      <c r="I9" s="16"/>
      <c r="J9" s="16"/>
      <c r="K9" s="16"/>
      <c r="L9" s="17"/>
      <c r="M9" s="17"/>
    </row>
    <row r="10" spans="1:13" ht="24" customHeight="1" x14ac:dyDescent="0.3">
      <c r="A10" s="103" t="s">
        <v>66</v>
      </c>
      <c r="B10" s="101" t="s">
        <v>67</v>
      </c>
      <c r="C10" s="99" t="s">
        <v>1</v>
      </c>
      <c r="D10" s="99" t="s">
        <v>2</v>
      </c>
      <c r="E10" s="100" t="s">
        <v>3</v>
      </c>
      <c r="F10" s="7"/>
      <c r="G10" s="7"/>
      <c r="H10" s="20" t="s">
        <v>58</v>
      </c>
      <c r="I10" s="20" t="s">
        <v>109</v>
      </c>
      <c r="J10" s="20" t="s">
        <v>63</v>
      </c>
      <c r="K10" s="20" t="s">
        <v>57</v>
      </c>
      <c r="L10" s="20" t="s">
        <v>56</v>
      </c>
      <c r="M10" s="20" t="s">
        <v>110</v>
      </c>
    </row>
    <row r="11" spans="1:13" ht="24" customHeight="1" thickBot="1" x14ac:dyDescent="0.35">
      <c r="A11" s="64">
        <f>A8</f>
        <v>11</v>
      </c>
      <c r="B11" s="58" t="s">
        <v>367</v>
      </c>
      <c r="C11" s="58"/>
      <c r="D11" s="94"/>
      <c r="E11" s="24"/>
      <c r="F11" s="5"/>
      <c r="G11" s="5"/>
      <c r="H11" s="11"/>
      <c r="I11" s="11"/>
      <c r="J11" s="11"/>
      <c r="K11" s="11"/>
      <c r="L11" s="5"/>
      <c r="M11" s="5"/>
    </row>
    <row r="12" spans="1:13" ht="36" customHeight="1" thickTop="1" thickBot="1" x14ac:dyDescent="0.35">
      <c r="A12" s="97">
        <f>$A$8 + (ROW()-11)/100</f>
        <v>11.01</v>
      </c>
      <c r="B12" s="93" t="s">
        <v>345</v>
      </c>
      <c r="C12" s="93" t="s">
        <v>346</v>
      </c>
      <c r="D12" s="95"/>
      <c r="E12" s="49" t="s">
        <v>37</v>
      </c>
      <c r="F12" s="5"/>
      <c r="G12" s="5"/>
      <c r="H12" s="6">
        <v>0</v>
      </c>
      <c r="I12" s="6">
        <v>0</v>
      </c>
      <c r="J12" s="6">
        <v>0</v>
      </c>
      <c r="K12" s="6">
        <v>0</v>
      </c>
      <c r="L12" s="6">
        <v>1</v>
      </c>
      <c r="M12" s="6">
        <v>0</v>
      </c>
    </row>
    <row r="13" spans="1:13" ht="36" customHeight="1" thickTop="1" thickBot="1" x14ac:dyDescent="0.35">
      <c r="A13" s="97">
        <f t="shared" ref="A13:A21" si="0">$A$8 + (ROW()-11)/100</f>
        <v>11.02</v>
      </c>
      <c r="B13" s="93" t="s">
        <v>347</v>
      </c>
      <c r="C13" s="93" t="s">
        <v>348</v>
      </c>
      <c r="D13" s="96" t="s">
        <v>349</v>
      </c>
      <c r="E13" s="49" t="s">
        <v>37</v>
      </c>
      <c r="F13" s="5"/>
      <c r="G13" s="5"/>
      <c r="H13" s="6">
        <v>0</v>
      </c>
      <c r="I13" s="6">
        <v>0</v>
      </c>
      <c r="J13" s="6">
        <v>0</v>
      </c>
      <c r="K13" s="6">
        <v>0</v>
      </c>
      <c r="L13" s="6">
        <v>1</v>
      </c>
      <c r="M13" s="6">
        <v>0</v>
      </c>
    </row>
    <row r="14" spans="1:13" ht="36" customHeight="1" thickTop="1" thickBot="1" x14ac:dyDescent="0.35">
      <c r="A14" s="97">
        <f t="shared" si="0"/>
        <v>11.03</v>
      </c>
      <c r="B14" s="93" t="s">
        <v>350</v>
      </c>
      <c r="C14" s="93" t="s">
        <v>351</v>
      </c>
      <c r="D14" s="95"/>
      <c r="E14" s="49" t="s">
        <v>37</v>
      </c>
      <c r="F14" s="5"/>
      <c r="G14" s="5"/>
      <c r="H14" s="6">
        <v>0</v>
      </c>
      <c r="I14" s="6">
        <v>0</v>
      </c>
      <c r="J14" s="6">
        <v>0</v>
      </c>
      <c r="K14" s="6">
        <v>0</v>
      </c>
      <c r="L14" s="6">
        <v>1</v>
      </c>
      <c r="M14" s="6">
        <v>0</v>
      </c>
    </row>
    <row r="15" spans="1:13" ht="36" customHeight="1" thickTop="1" thickBot="1" x14ac:dyDescent="0.35">
      <c r="A15" s="97">
        <f t="shared" si="0"/>
        <v>11.04</v>
      </c>
      <c r="B15" s="93" t="s">
        <v>352</v>
      </c>
      <c r="C15" s="93" t="s">
        <v>353</v>
      </c>
      <c r="D15" s="95"/>
      <c r="E15" s="49" t="s">
        <v>37</v>
      </c>
      <c r="F15" s="5"/>
      <c r="G15" s="5"/>
      <c r="H15" s="6">
        <v>0</v>
      </c>
      <c r="I15" s="6">
        <v>0</v>
      </c>
      <c r="J15" s="6">
        <v>0</v>
      </c>
      <c r="K15" s="6">
        <v>0</v>
      </c>
      <c r="L15" s="6">
        <v>1</v>
      </c>
      <c r="M15" s="6">
        <v>0</v>
      </c>
    </row>
    <row r="16" spans="1:13" ht="36" customHeight="1" thickTop="1" thickBot="1" x14ac:dyDescent="0.35">
      <c r="A16" s="97">
        <f t="shared" si="0"/>
        <v>11.05</v>
      </c>
      <c r="B16" s="93" t="s">
        <v>354</v>
      </c>
      <c r="C16" s="93" t="s">
        <v>355</v>
      </c>
      <c r="D16" s="96"/>
      <c r="E16" s="3" t="s">
        <v>37</v>
      </c>
      <c r="F16" s="5"/>
      <c r="G16" s="5"/>
      <c r="H16" s="6">
        <v>0</v>
      </c>
      <c r="I16" s="6">
        <v>0</v>
      </c>
      <c r="J16" s="6">
        <v>0</v>
      </c>
      <c r="K16" s="6">
        <v>0</v>
      </c>
      <c r="L16" s="6">
        <v>1</v>
      </c>
      <c r="M16" s="6">
        <v>0</v>
      </c>
    </row>
    <row r="17" spans="1:13" ht="36" customHeight="1" thickTop="1" thickBot="1" x14ac:dyDescent="0.35">
      <c r="A17" s="97">
        <f t="shared" si="0"/>
        <v>11.06</v>
      </c>
      <c r="B17" s="93" t="s">
        <v>356</v>
      </c>
      <c r="C17" s="93" t="s">
        <v>357</v>
      </c>
      <c r="D17" s="95"/>
      <c r="E17" s="49" t="s">
        <v>37</v>
      </c>
      <c r="F17" s="5"/>
      <c r="G17" s="5"/>
      <c r="H17" s="6">
        <v>0</v>
      </c>
      <c r="I17" s="6">
        <v>0</v>
      </c>
      <c r="J17" s="6">
        <v>0</v>
      </c>
      <c r="K17" s="6">
        <v>0</v>
      </c>
      <c r="L17" s="6">
        <v>1</v>
      </c>
      <c r="M17" s="6">
        <v>0</v>
      </c>
    </row>
    <row r="18" spans="1:13" ht="36" customHeight="1" thickTop="1" thickBot="1" x14ac:dyDescent="0.35">
      <c r="A18" s="97">
        <f t="shared" si="0"/>
        <v>11.07</v>
      </c>
      <c r="B18" s="93" t="s">
        <v>358</v>
      </c>
      <c r="C18" s="93" t="s">
        <v>359</v>
      </c>
      <c r="D18" s="96" t="s">
        <v>360</v>
      </c>
      <c r="E18" s="3" t="s">
        <v>37</v>
      </c>
      <c r="F18" s="5"/>
      <c r="G18" s="5"/>
      <c r="H18" s="6">
        <v>0</v>
      </c>
      <c r="I18" s="6">
        <v>0</v>
      </c>
      <c r="J18" s="6">
        <v>0</v>
      </c>
      <c r="K18" s="6">
        <v>0</v>
      </c>
      <c r="L18" s="6">
        <v>1</v>
      </c>
      <c r="M18" s="6">
        <v>0</v>
      </c>
    </row>
    <row r="19" spans="1:13" ht="36" customHeight="1" thickTop="1" thickBot="1" x14ac:dyDescent="0.35">
      <c r="A19" s="97">
        <f t="shared" si="0"/>
        <v>11.08</v>
      </c>
      <c r="B19" s="93" t="s">
        <v>361</v>
      </c>
      <c r="C19" s="93" t="s">
        <v>362</v>
      </c>
      <c r="D19" s="95"/>
      <c r="E19" s="3" t="s">
        <v>37</v>
      </c>
      <c r="F19" s="5"/>
      <c r="G19" s="5"/>
      <c r="H19" s="6">
        <v>0</v>
      </c>
      <c r="I19" s="6">
        <v>0</v>
      </c>
      <c r="J19" s="6">
        <v>0</v>
      </c>
      <c r="K19" s="6">
        <v>0</v>
      </c>
      <c r="L19" s="6">
        <v>1</v>
      </c>
      <c r="M19" s="6">
        <v>0</v>
      </c>
    </row>
    <row r="20" spans="1:13" ht="36" customHeight="1" thickTop="1" thickBot="1" x14ac:dyDescent="0.35">
      <c r="A20" s="97">
        <f t="shared" si="0"/>
        <v>11.09</v>
      </c>
      <c r="B20" s="93" t="s">
        <v>363</v>
      </c>
      <c r="C20" s="93" t="s">
        <v>364</v>
      </c>
      <c r="D20" s="95"/>
      <c r="E20" s="3" t="s">
        <v>37</v>
      </c>
      <c r="F20" s="5"/>
      <c r="G20" s="5"/>
      <c r="H20" s="6">
        <v>0</v>
      </c>
      <c r="I20" s="6">
        <v>0</v>
      </c>
      <c r="J20" s="6">
        <v>0</v>
      </c>
      <c r="K20" s="6">
        <v>0</v>
      </c>
      <c r="L20" s="6">
        <v>1</v>
      </c>
      <c r="M20" s="6">
        <v>0</v>
      </c>
    </row>
    <row r="21" spans="1:13" ht="36" customHeight="1" thickTop="1" thickBot="1" x14ac:dyDescent="0.35">
      <c r="A21" s="97">
        <f t="shared" si="0"/>
        <v>11.1</v>
      </c>
      <c r="B21" s="93" t="s">
        <v>365</v>
      </c>
      <c r="C21" s="93" t="s">
        <v>366</v>
      </c>
      <c r="D21" s="96"/>
      <c r="E21" s="3" t="s">
        <v>37</v>
      </c>
      <c r="F21" s="5"/>
      <c r="G21" s="5"/>
      <c r="H21" s="6">
        <v>0</v>
      </c>
      <c r="I21" s="6">
        <v>0</v>
      </c>
      <c r="J21" s="6">
        <v>0</v>
      </c>
      <c r="K21" s="6">
        <v>0</v>
      </c>
      <c r="L21" s="6">
        <v>1</v>
      </c>
      <c r="M21" s="6">
        <v>0</v>
      </c>
    </row>
    <row r="22" spans="1:13" s="5" customFormat="1" ht="24" customHeight="1" thickTop="1" x14ac:dyDescent="0.3">
      <c r="H22" s="11"/>
      <c r="I22" s="11"/>
      <c r="J22" s="11"/>
      <c r="K22" s="11"/>
    </row>
    <row r="23" spans="1:13" s="5" customFormat="1" ht="24" customHeight="1" x14ac:dyDescent="0.35">
      <c r="B23" s="188" t="str">
        <f xml:space="preserve"> "Review Team Notes: " &amp; B8</f>
        <v>Review Team Notes: Green Asset Evaluation (Observed Outcomes)</v>
      </c>
      <c r="F23" s="25"/>
      <c r="G23" s="26" t="s">
        <v>223</v>
      </c>
      <c r="H23" s="40">
        <f t="shared" ref="H23:M23" si="1">SUM(H12:H21)</f>
        <v>0</v>
      </c>
      <c r="I23" s="40">
        <f t="shared" si="1"/>
        <v>0</v>
      </c>
      <c r="J23" s="40">
        <f t="shared" si="1"/>
        <v>0</v>
      </c>
      <c r="K23" s="40">
        <f t="shared" si="1"/>
        <v>0</v>
      </c>
      <c r="L23" s="40">
        <f t="shared" si="1"/>
        <v>10</v>
      </c>
      <c r="M23" s="40">
        <f t="shared" si="1"/>
        <v>0</v>
      </c>
    </row>
    <row r="24" spans="1:13" s="5" customFormat="1" ht="24" customHeight="1" x14ac:dyDescent="0.3">
      <c r="F24" s="27"/>
      <c r="G24" s="26" t="s">
        <v>99</v>
      </c>
      <c r="H24" s="40">
        <f>H23 * LEFT('Review Information'!$C$9,1)</f>
        <v>0</v>
      </c>
      <c r="I24" s="40">
        <f>I23 * LEFT('Review Information'!$C$9,1)</f>
        <v>0</v>
      </c>
      <c r="J24" s="40">
        <f>J23 * LEFT('Review Information'!$C$9,1)</f>
        <v>0</v>
      </c>
      <c r="K24" s="40">
        <f>K23 * LEFT('Review Information'!$C$9,1)</f>
        <v>0</v>
      </c>
      <c r="L24" s="40">
        <f>L23 * LEFT('Review Information'!$C$9,1)</f>
        <v>20</v>
      </c>
      <c r="M24" s="40">
        <f>M23 * LEFT('Review Information'!$C$9,1)</f>
        <v>0</v>
      </c>
    </row>
    <row r="25" spans="1:13" s="5" customFormat="1" ht="24" customHeight="1" x14ac:dyDescent="0.3">
      <c r="B25" s="299" t="s">
        <v>413</v>
      </c>
      <c r="C25" s="300"/>
      <c r="D25" s="300"/>
      <c r="E25" s="301"/>
      <c r="F25" s="27"/>
      <c r="G25" s="26" t="s">
        <v>100</v>
      </c>
      <c r="H25" s="18" t="str">
        <f>IF(LEFT('Review Information'!$C$8,1)="1",SUM(LEFT($E$12,1), LEFT($E$13,1),LEFT($E$14,1),LEFT($E$15,1),LEFT($E$16,1),LEFT($E$17,1),LEFT($E$18,1),LEFT($E$19,1),LEFT($E$20,1),LEFT($E$21,1)),"NA")</f>
        <v>NA</v>
      </c>
      <c r="I25" s="18" t="str">
        <f>IF(LEFT('Review Information'!$C$8,1)="2",SUM(LEFT($E$12,1), LEFT($E$13,1),LEFT($E$14,1),LEFT($E$15,1),LEFT($E$16,1),LEFT($E$17,1),LEFT($E$18,1),LEFT($E$19,1),LEFT($E$20,1),LEFT($E$21,1)),"NA")</f>
        <v>NA</v>
      </c>
      <c r="J25" s="18" t="str">
        <f>IF(LEFT('Review Information'!$C$8,1)="3",SUM(LEFT($E$12,1), LEFT($E$13,1),LEFT($E$14,1),LEFT($E$15,1),LEFT($E$16,1),LEFT($E$17,1),LEFT($E$18,1),LEFT($E$19,1),LEFT($E$20,1),LEFT($E$21,1)),"NA")</f>
        <v>NA</v>
      </c>
      <c r="K25" s="18" t="str">
        <f>IF(LEFT('Review Information'!$C$8,1)="4",SUM(LEFT($E$12,1), LEFT($E$13,1),LEFT($E$14,1),LEFT($E$15,1),LEFT($E$16,1),LEFT($E$17,1),LEFT($E$18,1),LEFT($E$19,1),LEFT($E$20,1),LEFT($E$21,1)),"NA")</f>
        <v>NA</v>
      </c>
      <c r="L25" s="18">
        <f>IF(LEFT('Review Information'!$C$8,1)="5",SUM(LEFT($E$12,1), LEFT($E$13,1),LEFT($E$14,1),LEFT($E$15,1),LEFT($E$16,1),LEFT($E$17,1),LEFT($E$18,1),LEFT($E$19,1),LEFT($E$20,1),LEFT($E$21,1)),"NA")</f>
        <v>0</v>
      </c>
      <c r="M25" s="18" t="str">
        <f>IF(LEFT('Review Information'!$C$8,1)="6",SUM(LEFT($E$12,1), LEFT($E$13,1),LEFT($E$14,1),LEFT($E$15,1),LEFT($E$16,1),LEFT($E$17,1),LEFT($E$18,1),LEFT($E$19,1),LEFT($E$20,1),LEFT($E$21,1)),"NA")</f>
        <v>NA</v>
      </c>
    </row>
    <row r="26" spans="1:13" s="5" customFormat="1" ht="24" customHeight="1" x14ac:dyDescent="0.3">
      <c r="B26" s="278"/>
      <c r="C26" s="279"/>
      <c r="D26" s="279"/>
      <c r="E26" s="280"/>
      <c r="F26" s="27"/>
      <c r="G26" s="26" t="s">
        <v>105</v>
      </c>
      <c r="H26" s="41" t="str">
        <f>IF(LEFT('Review Information'!$C$8,1)="1",H$25/H$24,"NA")</f>
        <v>NA</v>
      </c>
      <c r="I26" s="41" t="str">
        <f>IF(LEFT('Review Information'!$C$8,1)="2",I$25/I$24,"NA")</f>
        <v>NA</v>
      </c>
      <c r="J26" s="41" t="str">
        <f>IF(LEFT('Review Information'!$C$8,1)="3",J$25/J$24,"NA")</f>
        <v>NA</v>
      </c>
      <c r="K26" s="41" t="str">
        <f>IF(LEFT('Review Information'!$C$8,1)="4",K$25/K$24,"NA")</f>
        <v>NA</v>
      </c>
      <c r="L26" s="41">
        <f>IF(LEFT('Review Information'!$C$8,1)="5",L$25/L$24,"NA")</f>
        <v>0</v>
      </c>
      <c r="M26" s="41" t="str">
        <f>IF(LEFT('Review Information'!$C$8,1)="6",M$25/M$24,"NA")</f>
        <v>NA</v>
      </c>
    </row>
    <row r="27" spans="1:13" s="5" customFormat="1" ht="24" customHeight="1" x14ac:dyDescent="0.3">
      <c r="B27" s="278"/>
      <c r="C27" s="279"/>
      <c r="D27" s="279"/>
      <c r="E27" s="280"/>
      <c r="H27" s="11"/>
      <c r="I27" s="11"/>
      <c r="J27" s="11"/>
      <c r="K27" s="11"/>
    </row>
    <row r="28" spans="1:13" s="5" customFormat="1" ht="24" customHeight="1" x14ac:dyDescent="0.3">
      <c r="B28" s="278"/>
      <c r="C28" s="279"/>
      <c r="D28" s="279"/>
      <c r="E28" s="280"/>
      <c r="H28" s="11"/>
      <c r="I28" s="11"/>
      <c r="J28" s="11"/>
      <c r="K28" s="11"/>
    </row>
    <row r="29" spans="1:13" s="5" customFormat="1" ht="24" customHeight="1" x14ac:dyDescent="0.3">
      <c r="B29" s="278"/>
      <c r="C29" s="279"/>
      <c r="D29" s="279"/>
      <c r="E29" s="280"/>
      <c r="H29" s="15" t="s">
        <v>107</v>
      </c>
      <c r="I29" s="16"/>
      <c r="J29" s="16"/>
      <c r="K29" s="16"/>
      <c r="L29" s="17"/>
      <c r="M29" s="17"/>
    </row>
    <row r="30" spans="1:13" ht="24" customHeight="1" x14ac:dyDescent="0.3">
      <c r="A30" s="5"/>
      <c r="B30" s="278"/>
      <c r="C30" s="279"/>
      <c r="D30" s="279"/>
      <c r="E30" s="280"/>
      <c r="F30" s="5"/>
      <c r="G30" s="77" t="s">
        <v>102</v>
      </c>
      <c r="H30" s="125">
        <v>0</v>
      </c>
      <c r="I30" s="125">
        <v>0</v>
      </c>
      <c r="J30" s="125">
        <v>0</v>
      </c>
      <c r="K30" s="125">
        <v>0</v>
      </c>
      <c r="L30" s="125">
        <v>0</v>
      </c>
      <c r="M30" s="125">
        <v>0</v>
      </c>
    </row>
    <row r="31" spans="1:13" ht="24" customHeight="1" x14ac:dyDescent="0.3">
      <c r="A31" s="5"/>
      <c r="B31" s="278"/>
      <c r="C31" s="279"/>
      <c r="D31" s="279"/>
      <c r="E31" s="280"/>
      <c r="F31" s="5"/>
      <c r="G31" s="77" t="s">
        <v>103</v>
      </c>
      <c r="H31" s="40">
        <f>H30 * LEFT('Review Information'!$C$9,1)</f>
        <v>0</v>
      </c>
      <c r="I31" s="40">
        <f>I30 * LEFT('Review Information'!$C$9,1)</f>
        <v>0</v>
      </c>
      <c r="J31" s="40">
        <f>J30 * LEFT('Review Information'!$C$9,1)</f>
        <v>0</v>
      </c>
      <c r="K31" s="40">
        <f>K30 * LEFT('Review Information'!$C$9,1)</f>
        <v>0</v>
      </c>
      <c r="L31" s="40">
        <f>L30 * LEFT('Review Information'!$C$9,1)</f>
        <v>0</v>
      </c>
      <c r="M31" s="40">
        <f>M30 * LEFT('Review Information'!$C$9,1)</f>
        <v>0</v>
      </c>
    </row>
    <row r="32" spans="1:13" ht="24" customHeight="1" x14ac:dyDescent="0.3">
      <c r="A32" s="5"/>
      <c r="B32" s="278"/>
      <c r="C32" s="279"/>
      <c r="D32" s="279"/>
      <c r="E32" s="280"/>
      <c r="F32" s="5"/>
      <c r="G32" s="77" t="s">
        <v>73</v>
      </c>
      <c r="H32" s="42" t="s">
        <v>149</v>
      </c>
      <c r="I32" s="42" t="s">
        <v>149</v>
      </c>
      <c r="J32" s="42" t="s">
        <v>149</v>
      </c>
      <c r="K32" s="42" t="s">
        <v>149</v>
      </c>
      <c r="L32" s="42" t="s">
        <v>149</v>
      </c>
      <c r="M32" s="42" t="s">
        <v>149</v>
      </c>
    </row>
    <row r="33" spans="1:13" ht="24" customHeight="1" x14ac:dyDescent="0.3">
      <c r="A33" s="5"/>
      <c r="B33" s="281"/>
      <c r="C33" s="282"/>
      <c r="D33" s="282"/>
      <c r="E33" s="283"/>
      <c r="F33" s="5"/>
      <c r="G33" s="77" t="s">
        <v>197</v>
      </c>
      <c r="H33" s="42" t="s">
        <v>149</v>
      </c>
      <c r="I33" s="42" t="s">
        <v>149</v>
      </c>
      <c r="J33" s="42" t="s">
        <v>149</v>
      </c>
      <c r="K33" s="42" t="s">
        <v>149</v>
      </c>
      <c r="L33" s="42" t="s">
        <v>149</v>
      </c>
      <c r="M33" s="42" t="s">
        <v>149</v>
      </c>
    </row>
    <row r="34" spans="1:13" ht="24" customHeight="1" x14ac:dyDescent="0.3">
      <c r="A34" s="5"/>
      <c r="B34" s="5"/>
      <c r="C34" s="5"/>
      <c r="D34" s="5"/>
      <c r="E34" s="5"/>
      <c r="F34" s="5"/>
      <c r="G34" s="26"/>
      <c r="H34" s="41"/>
      <c r="I34" s="41"/>
      <c r="J34" s="41"/>
      <c r="K34" s="41"/>
      <c r="L34" s="41"/>
      <c r="M34" s="41"/>
    </row>
    <row r="35" spans="1:13" ht="24" customHeight="1" x14ac:dyDescent="0.3">
      <c r="A35" s="5"/>
      <c r="B35" s="5"/>
      <c r="C35" s="5"/>
      <c r="D35" s="5"/>
      <c r="E35" s="5"/>
      <c r="F35" s="5"/>
      <c r="G35" s="5"/>
      <c r="H35" s="15" t="s">
        <v>108</v>
      </c>
      <c r="I35" s="43"/>
      <c r="J35" s="43"/>
      <c r="K35" s="43"/>
      <c r="L35" s="43"/>
      <c r="M35" s="43"/>
    </row>
    <row r="36" spans="1:13" ht="24" customHeight="1" x14ac:dyDescent="0.3">
      <c r="A36" s="5"/>
      <c r="B36" s="5"/>
      <c r="C36" s="5"/>
      <c r="D36" s="5"/>
      <c r="E36" s="5"/>
      <c r="F36" s="5"/>
      <c r="G36" s="78" t="s">
        <v>101</v>
      </c>
      <c r="H36" s="133">
        <v>0</v>
      </c>
      <c r="I36" s="133">
        <v>0</v>
      </c>
      <c r="J36" s="133">
        <v>0</v>
      </c>
      <c r="K36" s="133">
        <v>0</v>
      </c>
      <c r="L36" s="133">
        <v>0</v>
      </c>
      <c r="M36" s="133">
        <v>0</v>
      </c>
    </row>
    <row r="37" spans="1:13" ht="24" customHeight="1" x14ac:dyDescent="0.3">
      <c r="A37" s="5"/>
      <c r="B37" s="5"/>
      <c r="C37" s="5"/>
      <c r="D37" s="5"/>
      <c r="E37" s="5"/>
      <c r="F37" s="5"/>
      <c r="G37" s="78" t="s">
        <v>104</v>
      </c>
      <c r="H37" s="40">
        <f>H36 * LEFT('Review Information'!$C$9,1)</f>
        <v>0</v>
      </c>
      <c r="I37" s="40">
        <f>I36 * LEFT('Review Information'!$C$9,1)</f>
        <v>0</v>
      </c>
      <c r="J37" s="40">
        <f>J36 * LEFT('Review Information'!$C$9,1)</f>
        <v>0</v>
      </c>
      <c r="K37" s="40">
        <f>K36 * LEFT('Review Information'!$C$9,1)</f>
        <v>0</v>
      </c>
      <c r="L37" s="40">
        <f>L36 * LEFT('Review Information'!$C$9,1)</f>
        <v>0</v>
      </c>
      <c r="M37" s="40">
        <f>M36 * LEFT('Review Information'!$C$9,1)</f>
        <v>0</v>
      </c>
    </row>
    <row r="38" spans="1:13" ht="24" customHeight="1" x14ac:dyDescent="0.3">
      <c r="A38" s="5"/>
      <c r="B38" s="5"/>
      <c r="C38" s="5"/>
      <c r="D38" s="5"/>
      <c r="E38" s="5"/>
      <c r="F38" s="5"/>
      <c r="G38" s="78" t="s">
        <v>75</v>
      </c>
      <c r="H38" s="42" t="s">
        <v>149</v>
      </c>
      <c r="I38" s="42" t="s">
        <v>149</v>
      </c>
      <c r="J38" s="42" t="s">
        <v>149</v>
      </c>
      <c r="K38" s="42" t="s">
        <v>149</v>
      </c>
      <c r="L38" s="42" t="s">
        <v>149</v>
      </c>
      <c r="M38" s="42" t="s">
        <v>149</v>
      </c>
    </row>
    <row r="39" spans="1:13" ht="24" customHeight="1" x14ac:dyDescent="0.3">
      <c r="A39" s="5"/>
      <c r="B39" s="5"/>
      <c r="C39" s="5"/>
      <c r="D39" s="5"/>
      <c r="E39" s="5"/>
      <c r="F39" s="5"/>
      <c r="G39" s="78" t="s">
        <v>198</v>
      </c>
      <c r="H39" s="42" t="s">
        <v>149</v>
      </c>
      <c r="I39" s="42" t="s">
        <v>149</v>
      </c>
      <c r="J39" s="42" t="s">
        <v>149</v>
      </c>
      <c r="K39" s="42" t="s">
        <v>149</v>
      </c>
      <c r="L39" s="42" t="s">
        <v>149</v>
      </c>
      <c r="M39" s="42" t="s">
        <v>149</v>
      </c>
    </row>
    <row r="40" spans="1:13" ht="24" customHeight="1" x14ac:dyDescent="0.3">
      <c r="A40" s="5"/>
      <c r="B40" s="5"/>
      <c r="C40" s="5"/>
      <c r="D40" s="5"/>
      <c r="E40" s="5"/>
      <c r="F40" s="5"/>
      <c r="G40" s="5"/>
      <c r="H40" s="11"/>
      <c r="I40" s="11"/>
      <c r="J40" s="11"/>
      <c r="K40" s="11"/>
      <c r="L40" s="5"/>
      <c r="M40" s="5"/>
    </row>
    <row r="41" spans="1:13" ht="24" customHeight="1" x14ac:dyDescent="0.3">
      <c r="A41" s="258" t="str">
        <f>About!A1</f>
        <v>Urban Forest Sustainability and Management Review (v6.6a Austin)</v>
      </c>
      <c r="B41" s="259"/>
      <c r="C41" s="259"/>
      <c r="D41" s="259"/>
      <c r="E41" s="259"/>
      <c r="F41" s="302"/>
      <c r="G41" s="302"/>
      <c r="H41" s="302"/>
      <c r="I41" s="302"/>
      <c r="J41" s="302"/>
      <c r="K41" s="302"/>
      <c r="L41" s="302"/>
      <c r="M41" s="302"/>
    </row>
    <row r="42" spans="1:13" x14ac:dyDescent="0.3">
      <c r="A42" s="259"/>
      <c r="B42" s="259"/>
      <c r="C42" s="259"/>
      <c r="D42" s="259"/>
      <c r="E42" s="259"/>
      <c r="F42" s="302"/>
      <c r="G42" s="302"/>
      <c r="H42" s="302"/>
      <c r="I42" s="302"/>
      <c r="J42" s="302"/>
      <c r="K42" s="302"/>
      <c r="L42" s="302"/>
      <c r="M42" s="302"/>
    </row>
  </sheetData>
  <sheetProtection selectLockedCells="1"/>
  <mergeCells count="13">
    <mergeCell ref="B26:E26"/>
    <mergeCell ref="A41:E42"/>
    <mergeCell ref="F41:M42"/>
    <mergeCell ref="A1:E2"/>
    <mergeCell ref="F1:M2"/>
    <mergeCell ref="B25:E25"/>
    <mergeCell ref="B27:E27"/>
    <mergeCell ref="B28:E28"/>
    <mergeCell ref="B29:E29"/>
    <mergeCell ref="B30:E30"/>
    <mergeCell ref="B31:E31"/>
    <mergeCell ref="B32:E32"/>
    <mergeCell ref="B33:E33"/>
  </mergeCells>
  <dataValidations count="1">
    <dataValidation type="list" allowBlank="1" showInputMessage="1" showErrorMessage="1" errorTitle="Evaluation" error="You must select from the dropdown list!" promptTitle="Evaluation" prompt="Select the most appropriate management or current activity." sqref="E12:E21">
      <formula1>Evaluate</formula1>
    </dataValidation>
  </dataValidations>
  <hyperlinks>
    <hyperlink ref="M4" location="'TOC - Quick Access'!A1" display="TO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29"/>
  <sheetViews>
    <sheetView topLeftCell="A7" zoomScale="75" zoomScaleNormal="75" workbookViewId="0">
      <selection activeCell="C9" sqref="C9"/>
    </sheetView>
  </sheetViews>
  <sheetFormatPr defaultColWidth="9.109375" defaultRowHeight="14.4" x14ac:dyDescent="0.3"/>
  <cols>
    <col min="1" max="1" width="11.109375" style="5" bestFit="1" customWidth="1"/>
    <col min="2" max="2" width="34.6640625" style="5" customWidth="1"/>
    <col min="3" max="3" width="46.33203125" style="5" customWidth="1"/>
    <col min="4" max="4" width="24.6640625" style="5" customWidth="1"/>
    <col min="5" max="5" width="27.109375" style="5" customWidth="1"/>
    <col min="6" max="7" width="24.6640625" style="5" customWidth="1"/>
    <col min="8" max="9" width="9.109375" style="5"/>
    <col min="10" max="10" width="9.109375" style="151"/>
    <col min="11" max="16384" width="9.109375" style="5"/>
  </cols>
  <sheetData>
    <row r="1" spans="1:10" ht="15" customHeight="1" x14ac:dyDescent="0.3">
      <c r="A1" s="256" t="str">
        <f>About!A1</f>
        <v>Urban Forest Sustainability and Management Review (v6.6a Austin)</v>
      </c>
      <c r="B1" s="256"/>
      <c r="C1" s="256"/>
      <c r="D1" s="256"/>
      <c r="E1" s="256"/>
      <c r="F1" s="256"/>
      <c r="G1" s="256"/>
    </row>
    <row r="2" spans="1:10" ht="15" customHeight="1" x14ac:dyDescent="0.3">
      <c r="A2" s="256"/>
      <c r="B2" s="256"/>
      <c r="C2" s="256"/>
      <c r="D2" s="256"/>
      <c r="E2" s="256"/>
      <c r="F2" s="256"/>
      <c r="G2" s="256"/>
    </row>
    <row r="3" spans="1:10" x14ac:dyDescent="0.3">
      <c r="C3" s="9"/>
      <c r="D3" s="10"/>
    </row>
    <row r="4" spans="1:10" ht="24" customHeight="1" x14ac:dyDescent="0.45">
      <c r="A4" s="12"/>
      <c r="B4" s="69" t="s">
        <v>31</v>
      </c>
      <c r="C4" s="71" t="str">
        <f>'Review Information'!C6</f>
        <v xml:space="preserve">&lt; enter the name of the city or college &gt; </v>
      </c>
      <c r="D4" s="69" t="s">
        <v>30</v>
      </c>
      <c r="E4" s="75" t="str">
        <f>'Review Information'!E6</f>
        <v>&lt; enter arborist here &gt;</v>
      </c>
      <c r="G4" s="46" t="s">
        <v>115</v>
      </c>
    </row>
    <row r="5" spans="1:10" ht="24" customHeight="1" x14ac:dyDescent="0.3">
      <c r="A5" s="12"/>
      <c r="B5" s="69" t="s">
        <v>0</v>
      </c>
      <c r="C5" s="71" t="str">
        <f>'Review Information'!C7</f>
        <v>&lt; enter the team leaders name here &gt;</v>
      </c>
      <c r="D5" s="69" t="s">
        <v>29</v>
      </c>
      <c r="E5" s="194">
        <f>'Review Information'!E7</f>
        <v>42625</v>
      </c>
    </row>
    <row r="6" spans="1:10" ht="24" customHeight="1" x14ac:dyDescent="0.45">
      <c r="A6" s="12"/>
      <c r="B6" s="69" t="s">
        <v>32</v>
      </c>
      <c r="C6" s="71" t="str">
        <f>'Review Information'!C8</f>
        <v>5) Municipality</v>
      </c>
      <c r="D6" s="69"/>
      <c r="E6" s="72"/>
    </row>
    <row r="7" spans="1:10" ht="24" customHeight="1" x14ac:dyDescent="0.45">
      <c r="A7" s="12"/>
      <c r="B7" s="69" t="s">
        <v>65</v>
      </c>
      <c r="C7" s="71" t="str">
        <f>'Review Information'!C9</f>
        <v>2) Adopted Common Practice</v>
      </c>
      <c r="D7" s="69"/>
      <c r="E7" s="72"/>
    </row>
    <row r="8" spans="1:10" x14ac:dyDescent="0.3">
      <c r="C8" s="9"/>
      <c r="D8" s="10"/>
    </row>
    <row r="9" spans="1:10" s="45" customFormat="1" ht="24" customHeight="1" x14ac:dyDescent="0.3">
      <c r="A9" s="66"/>
      <c r="B9" s="66" t="s">
        <v>91</v>
      </c>
      <c r="J9" s="152"/>
    </row>
    <row r="10" spans="1:10" s="45" customFormat="1" ht="24" customHeight="1" x14ac:dyDescent="0.3">
      <c r="A10" s="66"/>
      <c r="B10" s="66"/>
      <c r="J10" s="152"/>
    </row>
    <row r="11" spans="1:10" s="45" customFormat="1" ht="24" customHeight="1" x14ac:dyDescent="0.3">
      <c r="A11" s="55"/>
      <c r="B11" s="305"/>
      <c r="C11" s="305"/>
      <c r="D11" s="306" t="s">
        <v>128</v>
      </c>
      <c r="E11" s="307"/>
      <c r="F11" s="307"/>
      <c r="G11" s="308"/>
    </row>
    <row r="12" spans="1:10" s="45" customFormat="1" ht="24" customHeight="1" x14ac:dyDescent="0.3">
      <c r="A12" s="50" t="s">
        <v>66</v>
      </c>
      <c r="B12" s="303" t="s">
        <v>126</v>
      </c>
      <c r="C12" s="304"/>
      <c r="D12" s="115" t="s">
        <v>369</v>
      </c>
      <c r="E12" s="116" t="s">
        <v>368</v>
      </c>
      <c r="F12" s="119" t="s">
        <v>370</v>
      </c>
      <c r="G12" s="153" t="s">
        <v>371</v>
      </c>
      <c r="J12" s="183" t="s">
        <v>394</v>
      </c>
    </row>
    <row r="13" spans="1:10" s="45" customFormat="1" ht="24" customHeight="1" x14ac:dyDescent="0.3">
      <c r="A13" s="50">
        <v>1</v>
      </c>
      <c r="B13" s="303" t="str">
        <f>'Policy &amp; Ordinances'!B8</f>
        <v>Management Policy and Ordinances</v>
      </c>
      <c r="C13" s="304"/>
      <c r="D13" s="117" t="str">
        <f>'Policy &amp; Ordinances'!$I$37</f>
        <v>NA</v>
      </c>
      <c r="E13" s="118" t="str">
        <f>'Policy &amp; Ordinances'!$I$43</f>
        <v>NA</v>
      </c>
      <c r="F13" s="120" t="str">
        <f>'Policy &amp; Ordinances'!I29</f>
        <v>NA</v>
      </c>
      <c r="G13" s="121" t="str">
        <f>'Policy &amp; Ordinances'!I30</f>
        <v>NA</v>
      </c>
      <c r="J13" s="184">
        <f>'Policy &amp; Ordinances'!I28</f>
        <v>0</v>
      </c>
    </row>
    <row r="14" spans="1:10" s="45" customFormat="1" ht="24" customHeight="1" x14ac:dyDescent="0.3">
      <c r="A14" s="50">
        <f>A13+1</f>
        <v>2</v>
      </c>
      <c r="B14" s="303" t="str">
        <f>'Capacity &amp; Training'!B8</f>
        <v>Professional Capacity and Training</v>
      </c>
      <c r="C14" s="304"/>
      <c r="D14" s="117" t="str">
        <f>'Capacity &amp; Training'!I32</f>
        <v>NA</v>
      </c>
      <c r="E14" s="118" t="str">
        <f>'Capacity &amp; Training'!I38</f>
        <v>NA</v>
      </c>
      <c r="F14" s="120" t="str">
        <f>'Capacity &amp; Training'!I24</f>
        <v>NA</v>
      </c>
      <c r="G14" s="121" t="str">
        <f>'Capacity &amp; Training'!I25</f>
        <v>NA</v>
      </c>
      <c r="J14" s="184">
        <f>'Capacity &amp; Training'!I23</f>
        <v>0</v>
      </c>
    </row>
    <row r="15" spans="1:10" s="45" customFormat="1" ht="24" customHeight="1" x14ac:dyDescent="0.3">
      <c r="A15" s="50">
        <f t="shared" ref="A15:A23" si="0">A14+1</f>
        <v>3</v>
      </c>
      <c r="B15" s="303" t="str">
        <f>'Funding &amp; Accounting'!B8</f>
        <v>Funding and Accounting</v>
      </c>
      <c r="C15" s="304"/>
      <c r="D15" s="117" t="str">
        <f>'Funding &amp; Accounting'!I29</f>
        <v>NA</v>
      </c>
      <c r="E15" s="118" t="str">
        <f>'Funding &amp; Accounting'!I35</f>
        <v>NA</v>
      </c>
      <c r="F15" s="120" t="str">
        <f>'Funding &amp; Accounting'!I21</f>
        <v>NA</v>
      </c>
      <c r="G15" s="121" t="str">
        <f>'Funding &amp; Accounting'!I22</f>
        <v>NA</v>
      </c>
      <c r="J15" s="184">
        <f>'Funding &amp; Accounting'!I20</f>
        <v>0</v>
      </c>
    </row>
    <row r="16" spans="1:10" s="45" customFormat="1" ht="24" customHeight="1" x14ac:dyDescent="0.3">
      <c r="A16" s="50">
        <f t="shared" si="0"/>
        <v>4</v>
      </c>
      <c r="B16" s="303" t="str">
        <f>Authority!B8</f>
        <v>Decision and Management Authority</v>
      </c>
      <c r="C16" s="304"/>
      <c r="D16" s="117" t="str">
        <f>Authority!I27</f>
        <v>NA</v>
      </c>
      <c r="E16" s="118" t="str">
        <f>Authority!I33</f>
        <v>NA</v>
      </c>
      <c r="F16" s="120" t="str">
        <f>Authority!I19</f>
        <v>NA</v>
      </c>
      <c r="G16" s="121" t="str">
        <f>Authority!I20</f>
        <v>NA</v>
      </c>
      <c r="J16" s="184">
        <f>Authority!I18</f>
        <v>0</v>
      </c>
    </row>
    <row r="17" spans="1:10" s="45" customFormat="1" ht="24" customHeight="1" x14ac:dyDescent="0.3">
      <c r="A17" s="50">
        <f t="shared" si="0"/>
        <v>5</v>
      </c>
      <c r="B17" s="303" t="str">
        <f>Inventories!B8</f>
        <v>Inventories</v>
      </c>
      <c r="C17" s="304"/>
      <c r="D17" s="117" t="str">
        <f>'Policy &amp; Ordinances'!$I$37</f>
        <v>NA</v>
      </c>
      <c r="E17" s="118" t="str">
        <f>'Policy &amp; Ordinances'!$I$43</f>
        <v>NA</v>
      </c>
      <c r="F17" s="120" t="str">
        <f>Inventories!I30</f>
        <v>NA</v>
      </c>
      <c r="G17" s="121" t="str">
        <f>Inventories!I31</f>
        <v>NA</v>
      </c>
      <c r="J17" s="184">
        <f>Inventories!I29</f>
        <v>0</v>
      </c>
    </row>
    <row r="18" spans="1:10" s="45" customFormat="1" ht="24" customHeight="1" x14ac:dyDescent="0.3">
      <c r="A18" s="50">
        <f t="shared" si="0"/>
        <v>6</v>
      </c>
      <c r="B18" s="303" t="str">
        <f>'Urban Forest Management Plans'!B8</f>
        <v>Urban Forest Management Plans</v>
      </c>
      <c r="C18" s="304"/>
      <c r="D18" s="117" t="str">
        <f>'Urban Forest Management Plans'!I37</f>
        <v>NA</v>
      </c>
      <c r="E18" s="118" t="str">
        <f>'Urban Forest Management Plans'!I43</f>
        <v>NA</v>
      </c>
      <c r="F18" s="120" t="str">
        <f>'Urban Forest Management Plans'!I29</f>
        <v>NA</v>
      </c>
      <c r="G18" s="121" t="str">
        <f>'Urban Forest Management Plans'!I30</f>
        <v>NA</v>
      </c>
      <c r="J18" s="184">
        <f>'Urban Forest Management Plans'!I28</f>
        <v>0</v>
      </c>
    </row>
    <row r="19" spans="1:10" s="45" customFormat="1" ht="24" customHeight="1" x14ac:dyDescent="0.3">
      <c r="A19" s="50">
        <f t="shared" si="0"/>
        <v>7</v>
      </c>
      <c r="B19" s="303" t="str">
        <f>'Risk Management'!B8</f>
        <v>Risk Management</v>
      </c>
      <c r="C19" s="304"/>
      <c r="D19" s="117" t="str">
        <f>'Risk Management'!I32</f>
        <v>NA</v>
      </c>
      <c r="E19" s="118" t="str">
        <f>'Risk Management'!I38</f>
        <v>NA</v>
      </c>
      <c r="F19" s="120" t="str">
        <f>'Risk Management'!I24</f>
        <v>NA</v>
      </c>
      <c r="G19" s="121" t="str">
        <f>'Risk Management'!I25</f>
        <v>NA</v>
      </c>
      <c r="J19" s="184">
        <f>'Risk Management'!I23</f>
        <v>0</v>
      </c>
    </row>
    <row r="20" spans="1:10" s="45" customFormat="1" ht="24" customHeight="1" x14ac:dyDescent="0.3">
      <c r="A20" s="50">
        <f t="shared" si="0"/>
        <v>8</v>
      </c>
      <c r="B20" s="303" t="str">
        <f>'Disaster Planning'!B8</f>
        <v>Disaster Planning</v>
      </c>
      <c r="C20" s="304"/>
      <c r="D20" s="117" t="str">
        <f>'Disaster Planning'!I30</f>
        <v>NA</v>
      </c>
      <c r="E20" s="118" t="str">
        <f>'Disaster Planning'!I36</f>
        <v>NA</v>
      </c>
      <c r="F20" s="120" t="str">
        <f>'Risk Management'!I24</f>
        <v>NA</v>
      </c>
      <c r="G20" s="121">
        <f>'Disaster Planning'!I25</f>
        <v>0</v>
      </c>
      <c r="J20" s="184">
        <f>'Disaster Planning'!I21</f>
        <v>0</v>
      </c>
    </row>
    <row r="21" spans="1:10" s="45" customFormat="1" ht="24" customHeight="1" x14ac:dyDescent="0.3">
      <c r="A21" s="50">
        <f t="shared" si="0"/>
        <v>9</v>
      </c>
      <c r="B21" s="303" t="str">
        <f>'Practices (Standards &amp; BMPS)'!B8</f>
        <v>Practices, Standards, and BMPs</v>
      </c>
      <c r="C21" s="304"/>
      <c r="D21" s="117" t="str">
        <f>'Practices (Standards &amp; BMPS)'!I52</f>
        <v>NA</v>
      </c>
      <c r="E21" s="118" t="str">
        <f>'Practices (Standards &amp; BMPS)'!I58</f>
        <v>NA</v>
      </c>
      <c r="F21" s="120" t="str">
        <f>'Practices (Standards &amp; BMPS)'!I44</f>
        <v>NA</v>
      </c>
      <c r="G21" s="121" t="str">
        <f>'Practices (Standards &amp; BMPS)'!I45</f>
        <v>NA</v>
      </c>
      <c r="J21" s="184">
        <f>'Practices (Standards &amp; BMPS)'!I43</f>
        <v>0</v>
      </c>
    </row>
    <row r="22" spans="1:10" s="45" customFormat="1" ht="24" customHeight="1" x14ac:dyDescent="0.3">
      <c r="A22" s="50">
        <f t="shared" si="0"/>
        <v>10</v>
      </c>
      <c r="B22" s="303" t="str">
        <f>Community!B8</f>
        <v>Community</v>
      </c>
      <c r="C22" s="304"/>
      <c r="D22" s="117" t="str">
        <f>Community!I38</f>
        <v>NA</v>
      </c>
      <c r="E22" s="118" t="str">
        <f>Community!I44</f>
        <v>NA</v>
      </c>
      <c r="F22" s="120" t="str">
        <f>Community!I30</f>
        <v>NA</v>
      </c>
      <c r="G22" s="121" t="str">
        <f>Community!I31</f>
        <v>NA</v>
      </c>
      <c r="J22" s="184">
        <f>Community!I29</f>
        <v>26</v>
      </c>
    </row>
    <row r="23" spans="1:10" s="45" customFormat="1" ht="24" customHeight="1" x14ac:dyDescent="0.3">
      <c r="A23" s="50">
        <f t="shared" si="0"/>
        <v>11</v>
      </c>
      <c r="B23" s="303" t="str">
        <f>'Green Asset Evaluation '!B8</f>
        <v>Green Asset Evaluation (Observed Outcomes)</v>
      </c>
      <c r="C23" s="304"/>
      <c r="D23" s="117" t="str">
        <f>'Green Asset Evaluation '!I33</f>
        <v>NA</v>
      </c>
      <c r="E23" s="118" t="str">
        <f>'Green Asset Evaluation '!I39</f>
        <v>NA</v>
      </c>
      <c r="F23" s="120" t="str">
        <f>'Green Asset Evaluation '!I25</f>
        <v>NA</v>
      </c>
      <c r="G23" s="121" t="str">
        <f>'Green Asset Evaluation '!I26</f>
        <v>NA</v>
      </c>
      <c r="J23" s="184">
        <f>'Green Asset Evaluation '!I24</f>
        <v>0</v>
      </c>
    </row>
    <row r="24" spans="1:10" s="45" customFormat="1" ht="6.75" customHeight="1" x14ac:dyDescent="0.3">
      <c r="A24" s="50"/>
      <c r="D24" s="122"/>
      <c r="E24" s="122"/>
      <c r="F24" s="120"/>
      <c r="G24" s="121"/>
      <c r="J24" s="184"/>
    </row>
    <row r="25" spans="1:10" s="45" customFormat="1" ht="24" customHeight="1" x14ac:dyDescent="0.3">
      <c r="A25" s="50"/>
      <c r="B25" s="303" t="s">
        <v>127</v>
      </c>
      <c r="C25" s="304"/>
      <c r="D25" s="121">
        <f>SUM(D13:D23)/10</f>
        <v>0</v>
      </c>
      <c r="E25" s="122">
        <f>SUM(E13:E23)/10</f>
        <v>0</v>
      </c>
      <c r="F25" s="120">
        <f>SUM(F13:F23)</f>
        <v>0</v>
      </c>
      <c r="G25" s="121">
        <f>F25/J25</f>
        <v>0</v>
      </c>
      <c r="J25" s="184">
        <f>SUM(J13:J23)</f>
        <v>26</v>
      </c>
    </row>
    <row r="26" spans="1:10" x14ac:dyDescent="0.3">
      <c r="A26" s="37"/>
      <c r="B26" s="38"/>
      <c r="C26" s="38"/>
      <c r="D26" s="38"/>
    </row>
    <row r="28" spans="1:10" ht="15" customHeight="1" x14ac:dyDescent="0.3">
      <c r="A28" s="258" t="str">
        <f>About!A1</f>
        <v>Urban Forest Sustainability and Management Review (v6.6a Austin)</v>
      </c>
      <c r="B28" s="258"/>
      <c r="C28" s="258"/>
      <c r="D28" s="258"/>
      <c r="E28" s="258"/>
      <c r="F28" s="258"/>
      <c r="G28" s="258"/>
    </row>
    <row r="29" spans="1:10" ht="15" customHeight="1" x14ac:dyDescent="0.3">
      <c r="A29" s="258"/>
      <c r="B29" s="258"/>
      <c r="C29" s="258"/>
      <c r="D29" s="258"/>
      <c r="E29" s="258"/>
      <c r="F29" s="258"/>
      <c r="G29" s="258"/>
    </row>
  </sheetData>
  <sheetProtection selectLockedCells="1"/>
  <mergeCells count="17">
    <mergeCell ref="A1:G2"/>
    <mergeCell ref="D11:G11"/>
    <mergeCell ref="B13:C13"/>
    <mergeCell ref="B14:C14"/>
    <mergeCell ref="B15:C15"/>
    <mergeCell ref="A28:G29"/>
    <mergeCell ref="B21:C21"/>
    <mergeCell ref="B22:C22"/>
    <mergeCell ref="B12:C12"/>
    <mergeCell ref="B11:C11"/>
    <mergeCell ref="B23:C23"/>
    <mergeCell ref="B25:C25"/>
    <mergeCell ref="B16:C16"/>
    <mergeCell ref="B17:C17"/>
    <mergeCell ref="B18:C18"/>
    <mergeCell ref="B19:C19"/>
    <mergeCell ref="B20:C20"/>
  </mergeCells>
  <dataValidations count="1">
    <dataValidation type="list" allowBlank="1" showInputMessage="1" showErrorMessage="1" errorTitle="Evaluation" error="You must select from the dropdown list!" promptTitle="Evaluation" prompt="Select the most appropriate management or current activity." sqref="E24">
      <formula1>Evaluate</formula1>
    </dataValidation>
  </dataValidations>
  <hyperlinks>
    <hyperlink ref="G4" location="'TOC - Quick Access'!A1" display="Return to TOC"/>
  </hyperlinks>
  <pageMargins left="0.7" right="0.7" top="0.75" bottom="0.75" header="0.3" footer="0.3"/>
  <ignoredErrors>
    <ignoredError sqref="D14"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P36"/>
  <sheetViews>
    <sheetView topLeftCell="A10" zoomScale="80" zoomScaleNormal="80" workbookViewId="0">
      <selection activeCell="L27" sqref="L27"/>
    </sheetView>
  </sheetViews>
  <sheetFormatPr defaultColWidth="9.109375" defaultRowHeight="14.4" x14ac:dyDescent="0.3"/>
  <cols>
    <col min="1" max="1" width="39.6640625" style="5" customWidth="1"/>
    <col min="2" max="2" width="13.88671875" style="5" customWidth="1"/>
    <col min="3" max="3" width="37.109375" style="5" customWidth="1"/>
    <col min="4" max="4" width="17.6640625" style="5" customWidth="1"/>
    <col min="5" max="5" width="23.88671875" style="5" customWidth="1"/>
    <col min="6" max="6" width="22.88671875" style="5" customWidth="1"/>
    <col min="7" max="8" width="9.109375" style="5"/>
    <col min="9" max="9" width="9.109375" style="40"/>
    <col min="10" max="12" width="9.109375" style="5"/>
    <col min="13" max="13" width="10.5546875" style="5" customWidth="1"/>
    <col min="14" max="14" width="9.109375" style="5"/>
    <col min="15" max="15" width="10.44140625" style="5" customWidth="1"/>
    <col min="16" max="16384" width="9.109375" style="5"/>
  </cols>
  <sheetData>
    <row r="1" spans="1:16" ht="15" customHeight="1" x14ac:dyDescent="0.3">
      <c r="A1" s="313" t="str">
        <f>About!A1</f>
        <v>Urban Forest Sustainability and Management Review (v6.6a Austin)</v>
      </c>
      <c r="B1" s="313"/>
      <c r="C1" s="313"/>
      <c r="D1" s="313"/>
      <c r="E1" s="313"/>
      <c r="F1" s="313"/>
      <c r="K1" s="154"/>
    </row>
    <row r="2" spans="1:16" ht="15" customHeight="1" x14ac:dyDescent="0.3">
      <c r="A2" s="313"/>
      <c r="B2" s="313"/>
      <c r="C2" s="313"/>
      <c r="D2" s="313"/>
      <c r="E2" s="313"/>
      <c r="F2" s="313"/>
    </row>
    <row r="3" spans="1:16" x14ac:dyDescent="0.3">
      <c r="C3" s="9"/>
      <c r="D3" s="10"/>
    </row>
    <row r="4" spans="1:16" ht="24" customHeight="1" x14ac:dyDescent="0.3">
      <c r="A4" s="12"/>
      <c r="B4" s="69" t="s">
        <v>31</v>
      </c>
      <c r="C4" s="71" t="str">
        <f>'Review Information'!C6</f>
        <v xml:space="preserve">&lt; enter the name of the city or college &gt; </v>
      </c>
      <c r="E4" s="69" t="s">
        <v>30</v>
      </c>
      <c r="F4" s="74" t="str">
        <f>'Review Information'!E6</f>
        <v>&lt; enter arborist here &gt;</v>
      </c>
    </row>
    <row r="5" spans="1:16" ht="24" customHeight="1" x14ac:dyDescent="0.3">
      <c r="A5" s="12"/>
      <c r="B5" s="69" t="s">
        <v>0</v>
      </c>
      <c r="C5" s="71" t="str">
        <f>'Review Information'!C7</f>
        <v>&lt; enter the team leaders name here &gt;</v>
      </c>
      <c r="E5" s="69" t="s">
        <v>29</v>
      </c>
      <c r="F5" s="193">
        <f>'Review Information'!E7</f>
        <v>42625</v>
      </c>
    </row>
    <row r="6" spans="1:16" ht="24" customHeight="1" x14ac:dyDescent="0.3">
      <c r="A6" s="12"/>
      <c r="B6" s="69" t="s">
        <v>32</v>
      </c>
      <c r="C6" s="71" t="str">
        <f>'Review Information'!C8</f>
        <v>5) Municipality</v>
      </c>
      <c r="D6" s="69"/>
      <c r="E6" s="161"/>
    </row>
    <row r="7" spans="1:16" ht="24" customHeight="1" x14ac:dyDescent="0.3">
      <c r="A7" s="12"/>
      <c r="B7" s="69" t="s">
        <v>65</v>
      </c>
      <c r="C7" s="71" t="str">
        <f>_2__Adopted_Common_Practice</f>
        <v>2) Adopted Common Practice</v>
      </c>
      <c r="D7" s="69"/>
      <c r="E7" s="157"/>
    </row>
    <row r="8" spans="1:16" ht="24" customHeight="1" x14ac:dyDescent="0.3">
      <c r="C8" s="9"/>
      <c r="D8" s="10"/>
      <c r="F8" s="221" t="s">
        <v>115</v>
      </c>
    </row>
    <row r="9" spans="1:16" ht="24" customHeight="1" x14ac:dyDescent="0.3">
      <c r="A9" s="66" t="s">
        <v>134</v>
      </c>
    </row>
    <row r="10" spans="1:16" ht="24" customHeight="1" x14ac:dyDescent="0.3">
      <c r="A10" s="51"/>
      <c r="B10" s="314"/>
      <c r="C10" s="314"/>
    </row>
    <row r="11" spans="1:16" ht="24" customHeight="1" x14ac:dyDescent="0.3">
      <c r="A11" s="171" t="s">
        <v>66</v>
      </c>
      <c r="B11" s="164" t="s">
        <v>388</v>
      </c>
      <c r="C11" s="168" t="s">
        <v>126</v>
      </c>
      <c r="D11" s="315" t="s">
        <v>43</v>
      </c>
      <c r="E11" s="316"/>
      <c r="F11" s="166" t="s">
        <v>127</v>
      </c>
      <c r="I11" s="202" t="s">
        <v>395</v>
      </c>
      <c r="J11" s="17"/>
      <c r="K11" s="17"/>
      <c r="L11" s="16"/>
      <c r="M11" s="16"/>
      <c r="N11" s="138"/>
      <c r="O11" s="138"/>
      <c r="P11" s="138"/>
    </row>
    <row r="12" spans="1:16" s="7" customFormat="1" ht="24" customHeight="1" x14ac:dyDescent="0.3">
      <c r="A12" s="201" t="str">
        <f>'Policy &amp; Ordinances'!B8</f>
        <v>Management Policy and Ordinances</v>
      </c>
      <c r="B12" s="167">
        <f>'Policy &amp; Ordinances'!A14</f>
        <v>1.03</v>
      </c>
      <c r="C12" s="173" t="str">
        <f>'Policy &amp; Ordinances'!B14</f>
        <v>Risk Management</v>
      </c>
      <c r="D12" s="309" t="str">
        <f>'Policy &amp; Ordinances'!E14</f>
        <v>0) Not Practiced</v>
      </c>
      <c r="E12" s="310"/>
      <c r="F12" s="239" t="str">
        <f>LEFT(D12)</f>
        <v>0</v>
      </c>
      <c r="I12" s="6">
        <v>1</v>
      </c>
    </row>
    <row r="13" spans="1:16" s="7" customFormat="1" ht="24" customHeight="1" x14ac:dyDescent="0.3">
      <c r="A13" s="201"/>
      <c r="B13" s="167">
        <f>'Policy &amp; Ordinances'!A22</f>
        <v>1.1100000000000001</v>
      </c>
      <c r="C13" s="173" t="str">
        <f>'Policy &amp; Ordinances'!B22</f>
        <v>Ordinance (Public)</v>
      </c>
      <c r="D13" s="309" t="str">
        <f>'Policy &amp; Ordinances'!E22</f>
        <v>0) Not Practiced</v>
      </c>
      <c r="E13" s="310"/>
      <c r="F13" s="239" t="str">
        <f t="shared" ref="F13:F20" si="0">LEFT(D13)</f>
        <v>0</v>
      </c>
      <c r="I13" s="6">
        <v>1</v>
      </c>
    </row>
    <row r="14" spans="1:16" s="7" customFormat="1" ht="24" customHeight="1" x14ac:dyDescent="0.3">
      <c r="A14" s="201" t="str">
        <f>'Capacity &amp; Training'!B8</f>
        <v>Professional Capacity and Training</v>
      </c>
      <c r="B14" s="167">
        <f>'Capacity &amp; Training'!A12</f>
        <v>2.0099999999999998</v>
      </c>
      <c r="C14" s="173" t="str">
        <f>'Capacity &amp; Training'!B12</f>
        <v>Certified Arborist - Staff</v>
      </c>
      <c r="D14" s="309" t="str">
        <f>'Capacity &amp; Training'!E12</f>
        <v>0) Not Practiced</v>
      </c>
      <c r="E14" s="310"/>
      <c r="F14" s="239" t="str">
        <f t="shared" si="0"/>
        <v>0</v>
      </c>
      <c r="I14" s="6">
        <v>1</v>
      </c>
    </row>
    <row r="15" spans="1:16" s="7" customFormat="1" ht="24" customHeight="1" x14ac:dyDescent="0.3">
      <c r="A15" s="201"/>
      <c r="B15" s="167">
        <f>'Capacity &amp; Training'!A13</f>
        <v>2.02</v>
      </c>
      <c r="C15" s="173" t="str">
        <f>'Capacity &amp; Training'!B13</f>
        <v>Certified Arborist - Contracted</v>
      </c>
      <c r="D15" s="309" t="str">
        <f>'Capacity &amp; Training'!E13</f>
        <v>0) Not Practiced</v>
      </c>
      <c r="E15" s="310"/>
      <c r="F15" s="239" t="str">
        <f t="shared" si="0"/>
        <v>0</v>
      </c>
      <c r="I15" s="6">
        <v>1</v>
      </c>
    </row>
    <row r="16" spans="1:16" s="7" customFormat="1" ht="24" customHeight="1" x14ac:dyDescent="0.3">
      <c r="A16" s="201"/>
      <c r="B16" s="167">
        <f>'Capacity &amp; Training'!A14</f>
        <v>2.0299999999999998</v>
      </c>
      <c r="C16" s="173" t="str">
        <f>'Capacity &amp; Training'!B14</f>
        <v>Certified Arborist - Other Resource</v>
      </c>
      <c r="D16" s="309" t="str">
        <f>'Capacity &amp; Training'!E14</f>
        <v>0) Not Practiced</v>
      </c>
      <c r="E16" s="310"/>
      <c r="F16" s="239" t="str">
        <f t="shared" si="0"/>
        <v>0</v>
      </c>
      <c r="I16" s="6">
        <v>1</v>
      </c>
    </row>
    <row r="17" spans="1:9" s="7" customFormat="1" ht="24" customHeight="1" x14ac:dyDescent="0.3">
      <c r="A17" s="201" t="str">
        <f>'Funding &amp; Accounting'!B8</f>
        <v>Funding and Accounting</v>
      </c>
      <c r="B17" s="167">
        <f>'Funding &amp; Accounting'!A12</f>
        <v>3.01</v>
      </c>
      <c r="C17" s="173" t="str">
        <f>'Funding &amp; Accounting'!B12</f>
        <v>Budgeted Annually</v>
      </c>
      <c r="D17" s="309" t="str">
        <f>'Funding &amp; Accounting'!E12</f>
        <v>0) Not Practiced</v>
      </c>
      <c r="E17" s="310"/>
      <c r="F17" s="239" t="str">
        <f t="shared" si="0"/>
        <v>0</v>
      </c>
      <c r="I17" s="6">
        <v>1</v>
      </c>
    </row>
    <row r="18" spans="1:9" s="7" customFormat="1" ht="24" customHeight="1" x14ac:dyDescent="0.3">
      <c r="A18" s="201"/>
      <c r="B18" s="167">
        <f>'Funding &amp; Accounting'!A13</f>
        <v>3.02</v>
      </c>
      <c r="C18" s="173" t="str">
        <f>'Funding &amp; Accounting'!B13</f>
        <v>Contingency Budget Process</v>
      </c>
      <c r="D18" s="309" t="str">
        <f>'Funding &amp; Accounting'!E13</f>
        <v>0) Not Practiced</v>
      </c>
      <c r="E18" s="310"/>
      <c r="F18" s="239" t="str">
        <f t="shared" si="0"/>
        <v>0</v>
      </c>
      <c r="I18" s="6">
        <v>1</v>
      </c>
    </row>
    <row r="19" spans="1:9" s="7" customFormat="1" ht="24" customHeight="1" x14ac:dyDescent="0.3">
      <c r="A19" s="201" t="str">
        <f>Authority!B8</f>
        <v>Decision and Management Authority</v>
      </c>
      <c r="B19" s="167">
        <f>Authority!A12</f>
        <v>4.01</v>
      </c>
      <c r="C19" s="173" t="str">
        <f>Authority!B12</f>
        <v>Urban Forest Manager</v>
      </c>
      <c r="D19" s="309" t="str">
        <f>Authority!E12</f>
        <v>0) Not Practiced</v>
      </c>
      <c r="E19" s="310"/>
      <c r="F19" s="239" t="str">
        <f t="shared" si="0"/>
        <v>0</v>
      </c>
      <c r="I19" s="6">
        <v>1</v>
      </c>
    </row>
    <row r="20" spans="1:9" s="7" customFormat="1" ht="24" customHeight="1" x14ac:dyDescent="0.3">
      <c r="A20" s="201"/>
      <c r="B20" s="167">
        <f>Authority!A13</f>
        <v>4.0199999999999996</v>
      </c>
      <c r="C20" s="173" t="str">
        <f>Authority!B13</f>
        <v>Staff Authority</v>
      </c>
      <c r="D20" s="309" t="str">
        <f>Authority!E13</f>
        <v>0) Not Practiced</v>
      </c>
      <c r="E20" s="310"/>
      <c r="F20" s="239" t="str">
        <f t="shared" si="0"/>
        <v>0</v>
      </c>
      <c r="I20" s="6">
        <v>1</v>
      </c>
    </row>
    <row r="21" spans="1:9" s="7" customFormat="1" ht="24" customHeight="1" x14ac:dyDescent="0.3">
      <c r="A21" s="201" t="str">
        <f>'Risk Management'!B8</f>
        <v>Risk Management</v>
      </c>
      <c r="B21" s="167">
        <f>'Risk Management'!A12</f>
        <v>7.01</v>
      </c>
      <c r="C21" s="173" t="str">
        <f>'Risk Management'!B12</f>
        <v xml:space="preserve">TRAQ Attained </v>
      </c>
      <c r="D21" s="309" t="str">
        <f>'Risk Management'!E12</f>
        <v>0) Not Practiced</v>
      </c>
      <c r="E21" s="310"/>
      <c r="F21" s="239" t="str">
        <f t="shared" ref="F21:F28" si="1">LEFT(D21)</f>
        <v>0</v>
      </c>
      <c r="I21" s="6">
        <v>1</v>
      </c>
    </row>
    <row r="22" spans="1:9" s="7" customFormat="1" ht="36" customHeight="1" x14ac:dyDescent="0.3">
      <c r="A22" s="201"/>
      <c r="B22" s="167">
        <f>'Risk Management'!A13</f>
        <v>7.02</v>
      </c>
      <c r="C22" s="173" t="str">
        <f>'Risk Management'!B13</f>
        <v>Annual Level 1 (ANSI A300 Part 9 &amp; ISA BMP)</v>
      </c>
      <c r="D22" s="309" t="str">
        <f>'Risk Management'!E13</f>
        <v>0) Not Practiced</v>
      </c>
      <c r="E22" s="310"/>
      <c r="F22" s="239" t="str">
        <f t="shared" ref="F22" si="2">LEFT(D22)</f>
        <v>0</v>
      </c>
      <c r="I22" s="6">
        <v>1</v>
      </c>
    </row>
    <row r="23" spans="1:9" s="7" customFormat="1" ht="24" customHeight="1" x14ac:dyDescent="0.3">
      <c r="A23" s="201"/>
      <c r="B23" s="167">
        <f>'Risk Management'!A14</f>
        <v>7.03</v>
      </c>
      <c r="C23" s="173" t="str">
        <f>'Risk Management'!B14</f>
        <v>Mitigation Prioritization</v>
      </c>
      <c r="D23" s="309" t="str">
        <f>'Risk Management'!E14</f>
        <v>0) Not Practiced</v>
      </c>
      <c r="E23" s="310"/>
      <c r="F23" s="239" t="str">
        <f t="shared" ref="F23" si="3">LEFT(D23)</f>
        <v>0</v>
      </c>
      <c r="I23" s="6">
        <v>1</v>
      </c>
    </row>
    <row r="24" spans="1:9" s="7" customFormat="1" ht="36" customHeight="1" x14ac:dyDescent="0.3">
      <c r="A24" s="201"/>
      <c r="B24" s="167">
        <f>'Risk Management'!A16</f>
        <v>7.05</v>
      </c>
      <c r="C24" s="173" t="str">
        <f>'Risk Management'!B16</f>
        <v>Recordkeeping, Reporting, and Communications</v>
      </c>
      <c r="D24" s="309" t="str">
        <f>'Risk Management'!E16</f>
        <v>0) Not Practiced</v>
      </c>
      <c r="E24" s="310"/>
      <c r="F24" s="239" t="str">
        <f t="shared" si="1"/>
        <v>0</v>
      </c>
      <c r="I24" s="6">
        <v>1</v>
      </c>
    </row>
    <row r="25" spans="1:9" s="7" customFormat="1" ht="24" customHeight="1" x14ac:dyDescent="0.3">
      <c r="A25" s="201"/>
      <c r="B25" s="167">
        <f>'Risk Management'!A17</f>
        <v>7.06</v>
      </c>
      <c r="C25" s="173" t="str">
        <f>'Risk Management'!B17</f>
        <v>Standard of Care Adopted</v>
      </c>
      <c r="D25" s="309" t="str">
        <f>'Risk Management'!E17</f>
        <v>0) Not Practiced</v>
      </c>
      <c r="E25" s="310"/>
      <c r="F25" s="239" t="str">
        <f t="shared" si="1"/>
        <v>0</v>
      </c>
      <c r="I25" s="6">
        <v>1</v>
      </c>
    </row>
    <row r="26" spans="1:9" s="7" customFormat="1" ht="24" customHeight="1" x14ac:dyDescent="0.3">
      <c r="A26" s="201"/>
      <c r="B26" s="167">
        <f>'Risk Management'!A18</f>
        <v>7.07</v>
      </c>
      <c r="C26" s="173" t="str">
        <f>'Risk Management'!B18</f>
        <v>Tree Risk Specification</v>
      </c>
      <c r="D26" s="309" t="str">
        <f>'Risk Management'!E18</f>
        <v>0) Not Practiced</v>
      </c>
      <c r="E26" s="310"/>
      <c r="F26" s="239" t="str">
        <f t="shared" si="1"/>
        <v>0</v>
      </c>
      <c r="I26" s="6">
        <v>1</v>
      </c>
    </row>
    <row r="27" spans="1:9" s="7" customFormat="1" ht="24" customHeight="1" x14ac:dyDescent="0.3">
      <c r="A27" s="201" t="str">
        <f>'Practices (Standards &amp; BMPS)'!B8</f>
        <v>Practices, Standards, and BMPs</v>
      </c>
      <c r="B27" s="167">
        <f>'Practices (Standards &amp; BMPS)'!A12</f>
        <v>9.01</v>
      </c>
      <c r="C27" s="173" t="str">
        <f>'Practices (Standards &amp; BMPS)'!B12</f>
        <v>ANSI Standards</v>
      </c>
      <c r="D27" s="309" t="str">
        <f>'Practices (Standards &amp; BMPS)'!E12</f>
        <v>0) Not Practiced</v>
      </c>
      <c r="E27" s="310"/>
      <c r="F27" s="239" t="str">
        <f t="shared" si="1"/>
        <v>0</v>
      </c>
      <c r="I27" s="6">
        <v>1</v>
      </c>
    </row>
    <row r="28" spans="1:9" s="7" customFormat="1" ht="24" customHeight="1" x14ac:dyDescent="0.3">
      <c r="A28" s="241"/>
      <c r="B28" s="167">
        <f>'Practices (Standards &amp; BMPS)'!A21</f>
        <v>9.1</v>
      </c>
      <c r="C28" s="173" t="str">
        <f>'Practices (Standards &amp; BMPS)'!B21</f>
        <v>Support Systems (Guying and Bracing)</v>
      </c>
      <c r="D28" s="309" t="str">
        <f>'Practices (Standards &amp; BMPS)'!E21</f>
        <v>0) Not Practiced</v>
      </c>
      <c r="E28" s="310"/>
      <c r="F28" s="239" t="str">
        <f t="shared" si="1"/>
        <v>0</v>
      </c>
      <c r="I28" s="6">
        <v>1</v>
      </c>
    </row>
    <row r="29" spans="1:9" s="7" customFormat="1" ht="24" customHeight="1" x14ac:dyDescent="0.3">
      <c r="A29" s="201" t="s">
        <v>89</v>
      </c>
      <c r="B29" s="167">
        <v>10.119999999999999</v>
      </c>
      <c r="C29" s="173" t="s">
        <v>490</v>
      </c>
      <c r="D29" s="309" t="str">
        <f>Community!E12</f>
        <v>0) Not Practiced</v>
      </c>
      <c r="E29" s="310"/>
      <c r="F29" s="239" t="str">
        <f t="shared" ref="F29" si="4">LEFT(D29)</f>
        <v>0</v>
      </c>
      <c r="I29" s="6">
        <v>1</v>
      </c>
    </row>
    <row r="30" spans="1:9" s="7" customFormat="1" ht="15.6" customHeight="1" x14ac:dyDescent="0.3">
      <c r="A30" s="241"/>
      <c r="B30" s="167"/>
      <c r="C30" s="173"/>
      <c r="D30" s="241"/>
      <c r="E30" s="242"/>
      <c r="F30" s="239"/>
      <c r="I30" s="246"/>
    </row>
    <row r="31" spans="1:9" ht="24" customHeight="1" x14ac:dyDescent="0.3">
      <c r="A31" s="201"/>
      <c r="B31" s="165"/>
      <c r="C31" s="169" t="s">
        <v>127</v>
      </c>
      <c r="D31" s="311"/>
      <c r="E31" s="312"/>
      <c r="F31" s="170">
        <f>F12+F13+F14+F15+F16+F17+F18+F19+F20+F21+F22+F23+F24+F25+F26+F27+F28+F29</f>
        <v>0</v>
      </c>
    </row>
    <row r="32" spans="1:9" ht="24" customHeight="1" x14ac:dyDescent="0.3">
      <c r="A32" s="201"/>
      <c r="B32" s="165"/>
      <c r="C32" s="169" t="s">
        <v>389</v>
      </c>
      <c r="D32" s="311"/>
      <c r="E32" s="312"/>
      <c r="F32" s="174">
        <f>F31/(I32 * LEFT(C7,1))</f>
        <v>0</v>
      </c>
      <c r="I32" s="125">
        <f>SUM(I12:I29)</f>
        <v>18</v>
      </c>
    </row>
    <row r="33" spans="1:6" x14ac:dyDescent="0.3">
      <c r="A33" s="37"/>
      <c r="B33" s="38"/>
      <c r="C33" s="38"/>
      <c r="D33" s="38"/>
    </row>
    <row r="35" spans="1:6" ht="15" customHeight="1" x14ac:dyDescent="0.3">
      <c r="A35" s="258" t="str">
        <f>About!A1</f>
        <v>Urban Forest Sustainability and Management Review (v6.6a Austin)</v>
      </c>
      <c r="B35" s="258"/>
      <c r="C35" s="258"/>
      <c r="D35" s="258"/>
      <c r="E35" s="258"/>
      <c r="F35" s="258"/>
    </row>
    <row r="36" spans="1:6" ht="15" customHeight="1" x14ac:dyDescent="0.3">
      <c r="A36" s="258"/>
      <c r="B36" s="258"/>
      <c r="C36" s="258"/>
      <c r="D36" s="258"/>
      <c r="E36" s="258"/>
      <c r="F36" s="258"/>
    </row>
  </sheetData>
  <sheetProtection selectLockedCells="1"/>
  <mergeCells count="25">
    <mergeCell ref="A1:F1"/>
    <mergeCell ref="A2:F2"/>
    <mergeCell ref="D21:E21"/>
    <mergeCell ref="D24:E24"/>
    <mergeCell ref="D22:E22"/>
    <mergeCell ref="D23:E23"/>
    <mergeCell ref="D16:E16"/>
    <mergeCell ref="D17:E17"/>
    <mergeCell ref="D18:E18"/>
    <mergeCell ref="D19:E19"/>
    <mergeCell ref="D20:E20"/>
    <mergeCell ref="B10:C10"/>
    <mergeCell ref="D11:E11"/>
    <mergeCell ref="D12:E12"/>
    <mergeCell ref="D13:E13"/>
    <mergeCell ref="D14:E14"/>
    <mergeCell ref="A35:F36"/>
    <mergeCell ref="D15:E15"/>
    <mergeCell ref="D32:E32"/>
    <mergeCell ref="D25:E25"/>
    <mergeCell ref="D26:E26"/>
    <mergeCell ref="D27:E27"/>
    <mergeCell ref="D29:E29"/>
    <mergeCell ref="D31:E31"/>
    <mergeCell ref="D28:E28"/>
  </mergeCells>
  <hyperlinks>
    <hyperlink ref="F8" location="'TOC - Quick Access'!A1" display="Return to TO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49"/>
  <sheetViews>
    <sheetView topLeftCell="A19" zoomScale="80" zoomScaleNormal="80" workbookViewId="0">
      <selection activeCell="K23" sqref="K23"/>
    </sheetView>
  </sheetViews>
  <sheetFormatPr defaultColWidth="9.109375" defaultRowHeight="14.4" x14ac:dyDescent="0.3"/>
  <cols>
    <col min="1" max="1" width="40.109375" style="5" customWidth="1"/>
    <col min="2" max="2" width="11" style="5" customWidth="1"/>
    <col min="3" max="3" width="37.109375" style="5" customWidth="1"/>
    <col min="4" max="4" width="13.33203125" style="5" customWidth="1"/>
    <col min="5" max="5" width="30.5546875" style="5" customWidth="1"/>
    <col min="6" max="6" width="22.6640625" style="5" customWidth="1"/>
    <col min="7" max="12" width="9.109375" style="5"/>
    <col min="13" max="13" width="10.33203125" style="5" customWidth="1"/>
    <col min="14" max="16384" width="9.109375" style="5"/>
  </cols>
  <sheetData>
    <row r="1" spans="1:13" ht="15" customHeight="1" x14ac:dyDescent="0.3">
      <c r="A1" s="313" t="str">
        <f>About!A1</f>
        <v>Urban Forest Sustainability and Management Review (v6.6a Austin)</v>
      </c>
      <c r="B1" s="313"/>
      <c r="C1" s="313"/>
      <c r="D1" s="313"/>
      <c r="E1" s="313"/>
      <c r="F1" s="313"/>
      <c r="I1" s="40"/>
      <c r="K1" s="154"/>
    </row>
    <row r="2" spans="1:13" ht="15" customHeight="1" x14ac:dyDescent="0.3">
      <c r="A2" s="313"/>
      <c r="B2" s="313"/>
      <c r="C2" s="313"/>
      <c r="D2" s="313"/>
      <c r="E2" s="313"/>
      <c r="F2" s="313"/>
      <c r="I2" s="40"/>
    </row>
    <row r="3" spans="1:13" x14ac:dyDescent="0.3">
      <c r="C3" s="9"/>
      <c r="D3" s="10"/>
      <c r="I3" s="40"/>
    </row>
    <row r="4" spans="1:13" ht="24" customHeight="1" x14ac:dyDescent="0.3">
      <c r="A4" s="12"/>
      <c r="B4" s="69" t="s">
        <v>31</v>
      </c>
      <c r="C4" s="71" t="str">
        <f>'Review Information'!C6</f>
        <v xml:space="preserve">&lt; enter the name of the city or college &gt; </v>
      </c>
      <c r="E4" s="69" t="s">
        <v>30</v>
      </c>
      <c r="F4" s="74" t="str">
        <f>'Review Information'!E6</f>
        <v>&lt; enter arborist here &gt;</v>
      </c>
      <c r="I4" s="40"/>
    </row>
    <row r="5" spans="1:13" ht="24" customHeight="1" x14ac:dyDescent="0.3">
      <c r="A5" s="12"/>
      <c r="B5" s="69" t="s">
        <v>0</v>
      </c>
      <c r="C5" s="71" t="str">
        <f>'Review Information'!C7</f>
        <v>&lt; enter the team leaders name here &gt;</v>
      </c>
      <c r="E5" s="69" t="s">
        <v>29</v>
      </c>
      <c r="F5" s="193">
        <f>'Review Information'!E7</f>
        <v>42625</v>
      </c>
      <c r="I5" s="40"/>
    </row>
    <row r="6" spans="1:13" ht="24" customHeight="1" x14ac:dyDescent="0.3">
      <c r="A6" s="12"/>
      <c r="B6" s="69" t="s">
        <v>32</v>
      </c>
      <c r="C6" s="71" t="str">
        <f>'Review Information'!C8</f>
        <v>5) Municipality</v>
      </c>
      <c r="D6" s="69"/>
      <c r="E6" s="161"/>
      <c r="I6" s="40"/>
    </row>
    <row r="7" spans="1:13" ht="24" customHeight="1" x14ac:dyDescent="0.3">
      <c r="A7" s="12"/>
      <c r="B7" s="69" t="s">
        <v>65</v>
      </c>
      <c r="C7" s="71" t="str">
        <f>_2__Adopted_Common_Practice</f>
        <v>2) Adopted Common Practice</v>
      </c>
      <c r="D7" s="69"/>
      <c r="E7" s="157"/>
      <c r="I7" s="40"/>
    </row>
    <row r="8" spans="1:13" ht="24" customHeight="1" x14ac:dyDescent="0.3">
      <c r="C8" s="9"/>
      <c r="D8" s="10"/>
      <c r="F8" s="46" t="s">
        <v>115</v>
      </c>
      <c r="I8" s="40"/>
    </row>
    <row r="9" spans="1:13" ht="24" customHeight="1" x14ac:dyDescent="0.3">
      <c r="A9" s="66" t="s">
        <v>391</v>
      </c>
      <c r="I9" s="40"/>
    </row>
    <row r="10" spans="1:13" ht="12.75" customHeight="1" x14ac:dyDescent="0.3">
      <c r="A10" s="51"/>
      <c r="B10" s="314"/>
      <c r="C10" s="314"/>
      <c r="I10" s="40"/>
    </row>
    <row r="11" spans="1:13" ht="24" customHeight="1" x14ac:dyDescent="0.3">
      <c r="A11" s="171" t="s">
        <v>66</v>
      </c>
      <c r="B11" s="164" t="s">
        <v>388</v>
      </c>
      <c r="C11" s="175" t="s">
        <v>126</v>
      </c>
      <c r="D11" s="315" t="s">
        <v>43</v>
      </c>
      <c r="E11" s="316"/>
      <c r="F11" s="166" t="s">
        <v>127</v>
      </c>
      <c r="I11" s="317" t="s">
        <v>395</v>
      </c>
      <c r="J11" s="317"/>
      <c r="K11" s="317"/>
      <c r="L11" s="317"/>
      <c r="M11" s="317"/>
    </row>
    <row r="12" spans="1:13" ht="24" customHeight="1" x14ac:dyDescent="0.3">
      <c r="A12" s="181" t="str">
        <f>'Policy &amp; Ordinances'!B8</f>
        <v>Management Policy and Ordinances</v>
      </c>
      <c r="B12" s="167">
        <f>'Policy &amp; Ordinances'!A13</f>
        <v>1.02</v>
      </c>
      <c r="C12" s="176" t="str">
        <f>'Policy &amp; Ordinances'!B13</f>
        <v>No Net Loss</v>
      </c>
      <c r="D12" s="309" t="str">
        <f>'Policy &amp; Ordinances'!E13</f>
        <v>0) Not Practiced</v>
      </c>
      <c r="E12" s="310"/>
      <c r="F12" s="239" t="str">
        <f>LEFT(D12)</f>
        <v>0</v>
      </c>
      <c r="G12" s="7"/>
      <c r="H12" s="7"/>
      <c r="I12" s="6">
        <v>1</v>
      </c>
      <c r="J12" s="7"/>
    </row>
    <row r="13" spans="1:13" ht="24" customHeight="1" x14ac:dyDescent="0.3">
      <c r="A13" s="181"/>
      <c r="B13" s="167">
        <f>'Policy &amp; Ordinances'!A15</f>
        <v>1.04</v>
      </c>
      <c r="C13" s="176" t="str">
        <f>'Policy &amp; Ordinances'!B15</f>
        <v>Tree Canopy Goals</v>
      </c>
      <c r="D13" s="309" t="str">
        <f>'Policy &amp; Ordinances'!E15</f>
        <v>0) Not Practiced</v>
      </c>
      <c r="E13" s="310"/>
      <c r="F13" s="239" t="str">
        <f t="shared" ref="F13:F40" si="0">LEFT(D13)</f>
        <v>0</v>
      </c>
      <c r="G13" s="7"/>
      <c r="H13" s="7"/>
      <c r="I13" s="6">
        <v>1</v>
      </c>
      <c r="J13" s="7"/>
    </row>
    <row r="14" spans="1:13" ht="24" customHeight="1" x14ac:dyDescent="0.3">
      <c r="A14" s="181"/>
      <c r="B14" s="167">
        <f>'Policy &amp; Ordinances'!A17</f>
        <v>1.06</v>
      </c>
      <c r="C14" s="176" t="str">
        <f>'Policy &amp; Ordinances'!B17</f>
        <v>Utility</v>
      </c>
      <c r="D14" s="181" t="str">
        <f>'Policy &amp; Ordinances'!E17</f>
        <v>0) Not Practiced</v>
      </c>
      <c r="E14" s="182"/>
      <c r="F14" s="239" t="str">
        <f t="shared" si="0"/>
        <v>0</v>
      </c>
      <c r="G14" s="7"/>
      <c r="H14" s="7"/>
      <c r="I14" s="6">
        <v>1</v>
      </c>
      <c r="J14" s="7"/>
    </row>
    <row r="15" spans="1:13" ht="36" customHeight="1" x14ac:dyDescent="0.3">
      <c r="A15" s="181" t="str">
        <f>Authority!B8</f>
        <v>Decision and Management Authority</v>
      </c>
      <c r="B15" s="167">
        <f>Authority!A15</f>
        <v>4.04</v>
      </c>
      <c r="C15" s="176" t="str">
        <f>Authority!B15</f>
        <v>Tree Board. Commission, or Advisory Council</v>
      </c>
      <c r="D15" s="309" t="str">
        <f>Authority!E15</f>
        <v>0) Not Practiced</v>
      </c>
      <c r="E15" s="310"/>
      <c r="F15" s="239" t="str">
        <f t="shared" si="0"/>
        <v>0</v>
      </c>
      <c r="G15" s="7"/>
      <c r="H15" s="7"/>
      <c r="I15" s="6">
        <v>1</v>
      </c>
      <c r="J15" s="7"/>
    </row>
    <row r="16" spans="1:13" ht="24" customHeight="1" x14ac:dyDescent="0.3">
      <c r="A16" s="181" t="str">
        <f>Inventories!B8</f>
        <v>Inventories</v>
      </c>
      <c r="B16" s="167">
        <f>Inventories!A15</f>
        <v>5.04</v>
      </c>
      <c r="C16" s="176" t="str">
        <f>Inventories!C15</f>
        <v>Is there a recent (5 year) inventory?</v>
      </c>
      <c r="D16" s="309" t="str">
        <f>Inventories!E15</f>
        <v>0) Not Practiced</v>
      </c>
      <c r="E16" s="310"/>
      <c r="F16" s="239" t="str">
        <f t="shared" si="0"/>
        <v>0</v>
      </c>
      <c r="G16" s="7"/>
      <c r="H16" s="7"/>
      <c r="I16" s="6">
        <v>1</v>
      </c>
      <c r="J16" s="7"/>
    </row>
    <row r="17" spans="1:10" ht="24" customHeight="1" x14ac:dyDescent="0.3">
      <c r="A17" s="181"/>
      <c r="B17" s="167">
        <f>Inventories!A16</f>
        <v>5.05</v>
      </c>
      <c r="C17" s="176" t="str">
        <f>Inventories!B16</f>
        <v>Parks/Riparian Areas</v>
      </c>
      <c r="D17" s="309" t="str">
        <f>Inventories!E16</f>
        <v>0) Not Practiced</v>
      </c>
      <c r="E17" s="310"/>
      <c r="F17" s="239" t="str">
        <f t="shared" si="0"/>
        <v>0</v>
      </c>
      <c r="G17" s="7"/>
      <c r="H17" s="7"/>
      <c r="I17" s="6">
        <v>1</v>
      </c>
      <c r="J17" s="7"/>
    </row>
    <row r="18" spans="1:10" ht="24" customHeight="1" x14ac:dyDescent="0.3">
      <c r="A18" s="181"/>
      <c r="B18" s="167">
        <f>Inventories!A17</f>
        <v>5.0599999999999996</v>
      </c>
      <c r="C18" s="176" t="str">
        <f>Inventories!B17</f>
        <v>Other Public Trees</v>
      </c>
      <c r="D18" s="309" t="str">
        <f>Inventories!E17</f>
        <v>0) Not Practiced</v>
      </c>
      <c r="E18" s="310"/>
      <c r="F18" s="239" t="str">
        <f t="shared" si="0"/>
        <v>0</v>
      </c>
      <c r="G18" s="7"/>
      <c r="H18" s="7"/>
      <c r="I18" s="6">
        <v>1</v>
      </c>
      <c r="J18" s="7"/>
    </row>
    <row r="19" spans="1:10" ht="36" customHeight="1" x14ac:dyDescent="0.3">
      <c r="A19" s="181"/>
      <c r="B19" s="167">
        <f>Inventories!A18</f>
        <v>5.07</v>
      </c>
      <c r="C19" s="176" t="str">
        <f>Inventories!B18</f>
        <v>Continuous inventory on a cycle (≤5 years; i.e. panel)</v>
      </c>
      <c r="D19" s="309" t="str">
        <f>Inventories!E18</f>
        <v>0) Not Practiced</v>
      </c>
      <c r="E19" s="310"/>
      <c r="F19" s="239" t="str">
        <f t="shared" si="0"/>
        <v>0</v>
      </c>
      <c r="G19" s="7"/>
      <c r="H19" s="7"/>
      <c r="I19" s="6">
        <v>1</v>
      </c>
      <c r="J19" s="7"/>
    </row>
    <row r="20" spans="1:10" ht="24" customHeight="1" x14ac:dyDescent="0.3">
      <c r="B20" s="167">
        <f>Inventories!A20</f>
        <v>5.09</v>
      </c>
      <c r="C20" s="176" t="str">
        <f>Inventories!B20</f>
        <v>Campus (Educational)</v>
      </c>
      <c r="D20" s="309" t="str">
        <f>Inventories!E20</f>
        <v>0) Not Practiced</v>
      </c>
      <c r="E20" s="310"/>
      <c r="F20" s="239" t="str">
        <f t="shared" si="0"/>
        <v>0</v>
      </c>
      <c r="G20" s="7"/>
      <c r="H20" s="7"/>
      <c r="I20" s="6">
        <v>1</v>
      </c>
      <c r="J20" s="7"/>
    </row>
    <row r="21" spans="1:10" ht="24" customHeight="1" x14ac:dyDescent="0.3">
      <c r="A21" s="181"/>
      <c r="B21" s="167">
        <f>Inventories!A21</f>
        <v>5.0999999999999996</v>
      </c>
      <c r="C21" s="176" t="str">
        <f>Inventories!B21</f>
        <v>Corporate</v>
      </c>
      <c r="D21" s="309" t="str">
        <f>Inventories!E21</f>
        <v>0) Not Practiced</v>
      </c>
      <c r="E21" s="310"/>
      <c r="F21" s="239" t="str">
        <f t="shared" si="0"/>
        <v>0</v>
      </c>
      <c r="G21" s="7"/>
      <c r="H21" s="7"/>
      <c r="I21" s="6">
        <v>1</v>
      </c>
      <c r="J21" s="7"/>
    </row>
    <row r="22" spans="1:10" ht="24" customHeight="1" x14ac:dyDescent="0.3">
      <c r="B22" s="167">
        <f>Inventories!A22</f>
        <v>5.1100000000000003</v>
      </c>
      <c r="C22" s="176" t="str">
        <f>Inventories!B22</f>
        <v>Other Private Property</v>
      </c>
      <c r="D22" s="309" t="str">
        <f>Inventories!E22</f>
        <v>0) Not Practiced</v>
      </c>
      <c r="E22" s="310"/>
      <c r="F22" s="239" t="str">
        <f t="shared" si="0"/>
        <v>0</v>
      </c>
      <c r="G22" s="7"/>
      <c r="H22" s="7"/>
      <c r="I22" s="6">
        <v>1</v>
      </c>
      <c r="J22" s="7"/>
    </row>
    <row r="23" spans="1:10" ht="36.6" customHeight="1" x14ac:dyDescent="0.3">
      <c r="B23" s="167">
        <v>5.12</v>
      </c>
      <c r="C23" s="176" t="str">
        <f>Inventories!B23</f>
        <v>Continuous inventory on a cycle (≤5 years; i.e. panel)</v>
      </c>
      <c r="D23" s="309" t="str">
        <f>Inventories!E23</f>
        <v>0) Not Practiced</v>
      </c>
      <c r="E23" s="310"/>
      <c r="F23" s="239" t="str">
        <f t="shared" si="0"/>
        <v>0</v>
      </c>
      <c r="G23" s="7"/>
      <c r="H23" s="7"/>
      <c r="I23" s="6">
        <v>1</v>
      </c>
      <c r="J23" s="7"/>
    </row>
    <row r="24" spans="1:10" ht="24" customHeight="1" x14ac:dyDescent="0.3">
      <c r="A24" s="181" t="str">
        <f>'Urban Forest Management Plans'!B8</f>
        <v>Urban Forest Management Plans</v>
      </c>
      <c r="B24" s="167">
        <f>'Urban Forest Management Plans'!A14</f>
        <v>6.03</v>
      </c>
      <c r="C24" s="176" t="str">
        <f>'Urban Forest Management Plans'!B14</f>
        <v>Street Tree Management</v>
      </c>
      <c r="D24" s="309" t="str">
        <f>'Urban Forest Management Plans'!E14</f>
        <v>0) Not Practiced</v>
      </c>
      <c r="E24" s="310"/>
      <c r="F24" s="239" t="str">
        <f t="shared" si="0"/>
        <v>0</v>
      </c>
      <c r="G24" s="7"/>
      <c r="H24" s="7"/>
      <c r="I24" s="6">
        <v>1</v>
      </c>
      <c r="J24" s="7"/>
    </row>
    <row r="25" spans="1:10" ht="24" customHeight="1" x14ac:dyDescent="0.3">
      <c r="A25" s="181"/>
      <c r="B25" s="167">
        <f>'Urban Forest Management Plans'!A15</f>
        <v>6.04</v>
      </c>
      <c r="C25" s="176" t="str">
        <f>'Urban Forest Management Plans'!B15</f>
        <v>Parks/Riparian Area Management</v>
      </c>
      <c r="D25" s="309" t="str">
        <f>'Urban Forest Management Plans'!E15</f>
        <v>0) Not Practiced</v>
      </c>
      <c r="E25" s="310"/>
      <c r="F25" s="239" t="str">
        <f t="shared" si="0"/>
        <v>0</v>
      </c>
      <c r="G25" s="7"/>
      <c r="H25" s="7"/>
      <c r="I25" s="6">
        <v>1</v>
      </c>
      <c r="J25" s="7"/>
    </row>
    <row r="26" spans="1:10" ht="24" customHeight="1" x14ac:dyDescent="0.3">
      <c r="A26" s="181"/>
      <c r="B26" s="167">
        <f>'Urban Forest Management Plans'!A16</f>
        <v>6.05</v>
      </c>
      <c r="C26" s="176" t="str">
        <f>'Urban Forest Management Plans'!B16</f>
        <v>Other Public Trees</v>
      </c>
      <c r="D26" s="309" t="str">
        <f>'Urban Forest Management Plans'!E16</f>
        <v>0) Not Practiced</v>
      </c>
      <c r="E26" s="310"/>
      <c r="F26" s="239" t="str">
        <f t="shared" si="0"/>
        <v>0</v>
      </c>
      <c r="G26" s="7"/>
      <c r="H26" s="7"/>
      <c r="I26" s="6">
        <v>1</v>
      </c>
      <c r="J26" s="7"/>
    </row>
    <row r="27" spans="1:10" ht="24" customHeight="1" x14ac:dyDescent="0.3">
      <c r="A27" s="181"/>
      <c r="B27" s="167">
        <f>'Urban Forest Management Plans'!A18</f>
        <v>6.07</v>
      </c>
      <c r="C27" s="176" t="str">
        <f>'Urban Forest Management Plans'!B18</f>
        <v>Campus (Educational)</v>
      </c>
      <c r="D27" s="309" t="str">
        <f>'Urban Forest Management Plans'!E18</f>
        <v>0) Not Practiced</v>
      </c>
      <c r="E27" s="310"/>
      <c r="F27" s="239" t="str">
        <f t="shared" si="0"/>
        <v>0</v>
      </c>
      <c r="G27" s="7"/>
      <c r="H27" s="7"/>
      <c r="I27" s="6">
        <v>1</v>
      </c>
      <c r="J27" s="7"/>
    </row>
    <row r="28" spans="1:10" ht="24" customHeight="1" x14ac:dyDescent="0.3">
      <c r="A28" s="181"/>
      <c r="B28" s="167">
        <f>'Urban Forest Management Plans'!A19</f>
        <v>6.08</v>
      </c>
      <c r="C28" s="176" t="str">
        <f>'Urban Forest Management Plans'!B19</f>
        <v>Corporate</v>
      </c>
      <c r="D28" s="309" t="str">
        <f>'Urban Forest Management Plans'!E19</f>
        <v>0) Not Practiced</v>
      </c>
      <c r="E28" s="310"/>
      <c r="F28" s="239" t="str">
        <f t="shared" si="0"/>
        <v>0</v>
      </c>
      <c r="G28" s="7"/>
      <c r="H28" s="7"/>
      <c r="I28" s="6">
        <v>1</v>
      </c>
      <c r="J28" s="7"/>
    </row>
    <row r="29" spans="1:10" ht="24" customHeight="1" x14ac:dyDescent="0.3">
      <c r="A29" s="181"/>
      <c r="B29" s="167">
        <f>'Urban Forest Management Plans'!A20</f>
        <v>6.09</v>
      </c>
      <c r="C29" s="176" t="str">
        <f>'Urban Forest Management Plans'!B20</f>
        <v>Other Private Property</v>
      </c>
      <c r="D29" s="309" t="str">
        <f>'Urban Forest Management Plans'!E20</f>
        <v>0) Not Practiced</v>
      </c>
      <c r="E29" s="310"/>
      <c r="F29" s="239" t="str">
        <f t="shared" si="0"/>
        <v>0</v>
      </c>
      <c r="G29" s="7"/>
      <c r="H29" s="7"/>
      <c r="I29" s="6">
        <v>1</v>
      </c>
      <c r="J29" s="7"/>
    </row>
    <row r="30" spans="1:10" ht="24" customHeight="1" x14ac:dyDescent="0.3">
      <c r="A30" s="181" t="str">
        <f>'Risk Management'!B8</f>
        <v>Risk Management</v>
      </c>
      <c r="B30" s="167">
        <f>'Risk Management'!A19</f>
        <v>7.08</v>
      </c>
      <c r="C30" s="176" t="str">
        <f>'Risk Management'!B19</f>
        <v>Urban Tree Risk Management</v>
      </c>
      <c r="D30" s="309" t="str">
        <f>'Risk Management'!E19</f>
        <v>0) Not Practiced</v>
      </c>
      <c r="E30" s="310"/>
      <c r="F30" s="239" t="str">
        <f t="shared" si="0"/>
        <v>0</v>
      </c>
      <c r="G30" s="7"/>
      <c r="H30" s="7"/>
      <c r="I30" s="6">
        <v>1</v>
      </c>
      <c r="J30" s="7"/>
    </row>
    <row r="31" spans="1:10" ht="24" customHeight="1" x14ac:dyDescent="0.3">
      <c r="A31" s="181" t="str">
        <f>'Disaster Planning'!B8</f>
        <v>Disaster Planning</v>
      </c>
      <c r="B31" s="167">
        <f>'Disaster Planning'!A14</f>
        <v>8.0299999999999994</v>
      </c>
      <c r="C31" s="176" t="str">
        <f>'Disaster Planning'!B14</f>
        <v>Urban Forestry Disaster Plan</v>
      </c>
      <c r="D31" s="309" t="str">
        <f>'Disaster Planning'!E14</f>
        <v>0) Not Practiced</v>
      </c>
      <c r="E31" s="310"/>
      <c r="F31" s="239" t="str">
        <f t="shared" si="0"/>
        <v>0</v>
      </c>
      <c r="G31" s="7"/>
      <c r="H31" s="7"/>
      <c r="I31" s="6">
        <v>1</v>
      </c>
      <c r="J31" s="7"/>
    </row>
    <row r="32" spans="1:10" ht="24" customHeight="1" x14ac:dyDescent="0.3">
      <c r="B32" s="167">
        <f>'Disaster Planning'!A15</f>
        <v>8.0399999999999991</v>
      </c>
      <c r="C32" s="176" t="str">
        <f>'Disaster Planning'!B15</f>
        <v>Pre-disaster Contracts</v>
      </c>
      <c r="D32" s="309" t="str">
        <f>'Disaster Planning'!E15</f>
        <v>0) Not Practiced</v>
      </c>
      <c r="E32" s="310"/>
      <c r="F32" s="239" t="str">
        <f t="shared" si="0"/>
        <v>0</v>
      </c>
      <c r="G32" s="7"/>
      <c r="H32" s="7"/>
      <c r="I32" s="6">
        <v>1</v>
      </c>
      <c r="J32" s="7"/>
    </row>
    <row r="33" spans="1:10" ht="24" customHeight="1" x14ac:dyDescent="0.3">
      <c r="A33" s="181"/>
      <c r="B33" s="167">
        <f>'Disaster Planning'!A16</f>
        <v>8.0500000000000007</v>
      </c>
      <c r="C33" s="176" t="str">
        <f>'Disaster Planning'!B16</f>
        <v>Mitigation Plan</v>
      </c>
      <c r="D33" s="309" t="str">
        <f>'Disaster Planning'!E16</f>
        <v>0) Not Practiced</v>
      </c>
      <c r="E33" s="310"/>
      <c r="F33" s="239" t="str">
        <f t="shared" si="0"/>
        <v>0</v>
      </c>
      <c r="G33" s="7"/>
      <c r="H33" s="7"/>
      <c r="I33" s="6">
        <v>1</v>
      </c>
      <c r="J33" s="7"/>
    </row>
    <row r="34" spans="1:10" ht="24" customHeight="1" x14ac:dyDescent="0.3">
      <c r="A34" s="181" t="str">
        <f>'Practices (Standards &amp; BMPS)'!B8</f>
        <v>Practices, Standards, and BMPs</v>
      </c>
      <c r="B34" s="167">
        <f>'Practices (Standards &amp; BMPS)'!A14</f>
        <v>9.0299999999999994</v>
      </c>
      <c r="C34" s="176" t="str">
        <f>'Practices (Standards &amp; BMPS)'!B14</f>
        <v>Arborist Standards</v>
      </c>
      <c r="D34" s="309" t="str">
        <f>'Practices (Standards &amp; BMPS)'!E14</f>
        <v>0) Not Practiced</v>
      </c>
      <c r="E34" s="310"/>
      <c r="F34" s="239" t="str">
        <f t="shared" si="0"/>
        <v>0</v>
      </c>
      <c r="G34" s="7"/>
      <c r="H34" s="7"/>
      <c r="I34" s="6">
        <v>1</v>
      </c>
      <c r="J34" s="7"/>
    </row>
    <row r="35" spans="1:10" ht="24" customHeight="1" x14ac:dyDescent="0.3">
      <c r="A35" s="181"/>
      <c r="B35" s="167">
        <f>'Practices (Standards &amp; BMPS)'!A16</f>
        <v>9.0500000000000007</v>
      </c>
      <c r="C35" s="176" t="str">
        <f>'Practices (Standards &amp; BMPS)'!B16</f>
        <v>Fertilization and Mulching</v>
      </c>
      <c r="D35" s="309" t="str">
        <f>'Practices (Standards &amp; BMPS)'!E16</f>
        <v>0) Not Practiced</v>
      </c>
      <c r="E35" s="310"/>
      <c r="F35" s="239" t="str">
        <f t="shared" si="0"/>
        <v>0</v>
      </c>
      <c r="G35" s="7"/>
      <c r="H35" s="7"/>
      <c r="I35" s="6">
        <v>1</v>
      </c>
      <c r="J35" s="7"/>
    </row>
    <row r="36" spans="1:10" ht="24" customHeight="1" x14ac:dyDescent="0.3">
      <c r="A36" s="181"/>
      <c r="B36" s="167">
        <f>'Practices (Standards &amp; BMPS)'!A17</f>
        <v>9.06</v>
      </c>
      <c r="C36" s="176" t="str">
        <f>'Practices (Standards &amp; BMPS)'!B17</f>
        <v>Lightning Protection Systems</v>
      </c>
      <c r="D36" s="309" t="str">
        <f>'Practices (Standards &amp; BMPS)'!E17</f>
        <v>0) Not Practiced</v>
      </c>
      <c r="E36" s="310"/>
      <c r="F36" s="239" t="str">
        <f t="shared" si="0"/>
        <v>0</v>
      </c>
      <c r="G36" s="7"/>
      <c r="H36" s="7"/>
      <c r="I36" s="6">
        <v>1</v>
      </c>
      <c r="J36" s="7"/>
    </row>
    <row r="37" spans="1:10" ht="24" customHeight="1" x14ac:dyDescent="0.3">
      <c r="A37" s="181"/>
      <c r="B37" s="167">
        <f>'Practices (Standards &amp; BMPS)'!A18</f>
        <v>9.07</v>
      </c>
      <c r="C37" s="176" t="str">
        <f>'Practices (Standards &amp; BMPS)'!B18</f>
        <v>Planting</v>
      </c>
      <c r="D37" s="309" t="str">
        <f>'Practices (Standards &amp; BMPS)'!E18</f>
        <v>0) Not Practiced</v>
      </c>
      <c r="E37" s="310"/>
      <c r="F37" s="239" t="str">
        <f t="shared" si="0"/>
        <v>0</v>
      </c>
      <c r="G37" s="7"/>
      <c r="H37" s="7"/>
      <c r="I37" s="6">
        <v>1</v>
      </c>
      <c r="J37" s="7"/>
    </row>
    <row r="38" spans="1:10" ht="24" customHeight="1" x14ac:dyDescent="0.3">
      <c r="A38" s="181"/>
      <c r="B38" s="167">
        <f>'Practices (Standards &amp; BMPS)'!A19</f>
        <v>9.08</v>
      </c>
      <c r="C38" s="176" t="str">
        <f>'Practices (Standards &amp; BMPS)'!B19</f>
        <v>Pruning</v>
      </c>
      <c r="D38" s="309" t="str">
        <f>'Practices (Standards &amp; BMPS)'!E19</f>
        <v>0) Not Practiced</v>
      </c>
      <c r="E38" s="310"/>
      <c r="F38" s="239" t="str">
        <f t="shared" si="0"/>
        <v>0</v>
      </c>
      <c r="G38" s="7"/>
      <c r="H38" s="7"/>
      <c r="I38" s="6">
        <v>1</v>
      </c>
      <c r="J38" s="7"/>
    </row>
    <row r="39" spans="1:10" ht="24" customHeight="1" x14ac:dyDescent="0.3">
      <c r="A39" s="181"/>
      <c r="B39" s="167">
        <f>'Practices (Standards &amp; BMPS)'!A20</f>
        <v>9.09</v>
      </c>
      <c r="C39" s="176" t="str">
        <f>'Practices (Standards &amp; BMPS)'!B20</f>
        <v>Removal</v>
      </c>
      <c r="D39" s="309" t="str">
        <f>'Practices (Standards &amp; BMPS)'!E20</f>
        <v>0) Not Practiced</v>
      </c>
      <c r="E39" s="310"/>
      <c r="F39" s="239" t="str">
        <f t="shared" si="0"/>
        <v>0</v>
      </c>
      <c r="G39" s="7"/>
      <c r="H39" s="7"/>
      <c r="I39" s="6">
        <v>1</v>
      </c>
      <c r="J39" s="7"/>
    </row>
    <row r="40" spans="1:10" ht="36" customHeight="1" x14ac:dyDescent="0.3">
      <c r="A40" s="181"/>
      <c r="B40" s="167">
        <f>'Practices (Standards &amp; BMPS)'!A21</f>
        <v>9.1</v>
      </c>
      <c r="C40" s="176" t="str">
        <f>'Practices (Standards &amp; BMPS)'!B21</f>
        <v>Support Systems (Guying and Bracing)</v>
      </c>
      <c r="D40" s="309" t="str">
        <f>'Practices (Standards &amp; BMPS)'!E21</f>
        <v>0) Not Practiced</v>
      </c>
      <c r="E40" s="310"/>
      <c r="F40" s="239" t="str">
        <f t="shared" si="0"/>
        <v>0</v>
      </c>
      <c r="G40" s="7"/>
      <c r="H40" s="7"/>
      <c r="I40" s="6">
        <v>1</v>
      </c>
      <c r="J40" s="7"/>
    </row>
    <row r="41" spans="1:10" ht="13.5" customHeight="1" x14ac:dyDescent="0.3">
      <c r="A41" s="181"/>
      <c r="B41" s="167"/>
      <c r="C41" s="176"/>
      <c r="D41" s="318"/>
      <c r="E41" s="319"/>
      <c r="F41" s="172"/>
      <c r="G41" s="7"/>
      <c r="H41" s="7"/>
      <c r="J41" s="7"/>
    </row>
    <row r="42" spans="1:10" ht="24" customHeight="1" x14ac:dyDescent="0.3">
      <c r="A42" s="181"/>
      <c r="B42" s="165"/>
      <c r="C42" s="177" t="s">
        <v>127</v>
      </c>
      <c r="D42" s="311"/>
      <c r="E42" s="312"/>
      <c r="F42" s="180">
        <f>F12+F13+F14+F15+F16+F17+F18+F19+F20+F21+F22+F24+F25+F26+F27+F28+F29+F30+F31+F32+F33+F34+F35+F36+F37+F38+F39+F40</f>
        <v>0</v>
      </c>
    </row>
    <row r="43" spans="1:10" ht="24" customHeight="1" x14ac:dyDescent="0.3">
      <c r="A43" s="181"/>
      <c r="B43" s="165"/>
      <c r="C43" s="177" t="s">
        <v>390</v>
      </c>
      <c r="D43" s="311"/>
      <c r="E43" s="312"/>
      <c r="F43" s="179">
        <f>F42/(I43 * LEFT(C7,1))</f>
        <v>0</v>
      </c>
      <c r="I43" s="125">
        <f>SUM(I12:I42)</f>
        <v>29</v>
      </c>
    </row>
    <row r="44" spans="1:10" x14ac:dyDescent="0.3">
      <c r="A44" s="37"/>
      <c r="B44" s="38"/>
      <c r="C44" s="38"/>
      <c r="D44" s="38"/>
      <c r="I44" s="40"/>
    </row>
    <row r="45" spans="1:10" x14ac:dyDescent="0.3">
      <c r="I45" s="40"/>
    </row>
    <row r="46" spans="1:10" ht="15" customHeight="1" x14ac:dyDescent="0.3">
      <c r="A46" s="258" t="str">
        <f>About!A1</f>
        <v>Urban Forest Sustainability and Management Review (v6.6a Austin)</v>
      </c>
      <c r="B46" s="258"/>
      <c r="C46" s="258"/>
      <c r="D46" s="258"/>
      <c r="E46" s="258"/>
      <c r="F46" s="258"/>
      <c r="I46" s="40"/>
    </row>
    <row r="47" spans="1:10" ht="15" customHeight="1" x14ac:dyDescent="0.3">
      <c r="A47" s="258"/>
      <c r="B47" s="258"/>
      <c r="C47" s="258"/>
      <c r="D47" s="258"/>
      <c r="E47" s="258"/>
      <c r="F47" s="258"/>
      <c r="I47" s="40"/>
    </row>
    <row r="49" ht="14.25" customHeight="1" x14ac:dyDescent="0.3"/>
  </sheetData>
  <sheetProtection selectLockedCells="1"/>
  <mergeCells count="37">
    <mergeCell ref="I11:M11"/>
    <mergeCell ref="D33:E33"/>
    <mergeCell ref="D42:E42"/>
    <mergeCell ref="D43:E43"/>
    <mergeCell ref="A46:F47"/>
    <mergeCell ref="D34:E34"/>
    <mergeCell ref="D35:E35"/>
    <mergeCell ref="D36:E36"/>
    <mergeCell ref="D37:E37"/>
    <mergeCell ref="D38:E38"/>
    <mergeCell ref="D39:E39"/>
    <mergeCell ref="D40:E40"/>
    <mergeCell ref="D41:E41"/>
    <mergeCell ref="D13:E13"/>
    <mergeCell ref="D20:E20"/>
    <mergeCell ref="D21:E21"/>
    <mergeCell ref="B10:C10"/>
    <mergeCell ref="A1:F1"/>
    <mergeCell ref="A2:F2"/>
    <mergeCell ref="D11:E11"/>
    <mergeCell ref="D12:E12"/>
    <mergeCell ref="D22:E22"/>
    <mergeCell ref="D24:E24"/>
    <mergeCell ref="D15:E15"/>
    <mergeCell ref="D16:E16"/>
    <mergeCell ref="D17:E17"/>
    <mergeCell ref="D18:E18"/>
    <mergeCell ref="D19:E19"/>
    <mergeCell ref="D23:E23"/>
    <mergeCell ref="D25:E25"/>
    <mergeCell ref="D29:E29"/>
    <mergeCell ref="D30:E30"/>
    <mergeCell ref="D31:E31"/>
    <mergeCell ref="D32:E32"/>
    <mergeCell ref="D28:E28"/>
    <mergeCell ref="D26:E26"/>
    <mergeCell ref="D27:E27"/>
  </mergeCells>
  <hyperlinks>
    <hyperlink ref="F8" location="'TOC - Quick Access'!A1" display="Return to TO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18"/>
  <sheetViews>
    <sheetView zoomScale="75" zoomScaleNormal="75" workbookViewId="0">
      <selection activeCell="L14" sqref="L14"/>
    </sheetView>
  </sheetViews>
  <sheetFormatPr defaultColWidth="9.109375" defaultRowHeight="14.4" x14ac:dyDescent="0.3"/>
  <cols>
    <col min="1" max="1" width="11.109375" style="5" bestFit="1" customWidth="1"/>
    <col min="2" max="2" width="34.6640625" style="5" customWidth="1"/>
    <col min="3" max="3" width="47.109375" style="5" customWidth="1"/>
    <col min="4" max="4" width="24.6640625" style="5" customWidth="1"/>
    <col min="5" max="5" width="29.44140625" style="5" customWidth="1"/>
    <col min="6" max="6" width="28" style="5" customWidth="1"/>
    <col min="7" max="7" width="24.6640625" style="5" customWidth="1"/>
    <col min="8" max="16384" width="9.109375" style="5"/>
  </cols>
  <sheetData>
    <row r="1" spans="1:7" x14ac:dyDescent="0.3">
      <c r="A1" s="256" t="str">
        <f>About!A1</f>
        <v>Urban Forest Sustainability and Management Review (v6.6a Austin)</v>
      </c>
      <c r="B1" s="256"/>
      <c r="C1" s="256"/>
      <c r="D1" s="256"/>
      <c r="E1" s="256"/>
      <c r="F1" s="256"/>
      <c r="G1" s="256"/>
    </row>
    <row r="2" spans="1:7" x14ac:dyDescent="0.3">
      <c r="A2" s="256"/>
      <c r="B2" s="256"/>
      <c r="C2" s="256"/>
      <c r="D2" s="256"/>
      <c r="E2" s="256"/>
      <c r="F2" s="256"/>
      <c r="G2" s="256"/>
    </row>
    <row r="3" spans="1:7" x14ac:dyDescent="0.3">
      <c r="C3" s="9"/>
      <c r="D3" s="10"/>
    </row>
    <row r="4" spans="1:7" ht="24" customHeight="1" x14ac:dyDescent="0.3">
      <c r="A4" s="12"/>
      <c r="B4" s="69" t="s">
        <v>31</v>
      </c>
      <c r="C4" s="71" t="str">
        <f>'Review Information'!C6</f>
        <v xml:space="preserve">&lt; enter the name of the city or college &gt; </v>
      </c>
      <c r="D4" s="69" t="s">
        <v>30</v>
      </c>
      <c r="E4" s="71" t="str">
        <f>'Review Information'!E6</f>
        <v>&lt; enter arborist here &gt;</v>
      </c>
      <c r="G4" s="46" t="s">
        <v>115</v>
      </c>
    </row>
    <row r="5" spans="1:7" ht="24" customHeight="1" x14ac:dyDescent="0.3">
      <c r="A5" s="12"/>
      <c r="B5" s="69" t="s">
        <v>0</v>
      </c>
      <c r="C5" s="71" t="str">
        <f>'Review Information'!C7</f>
        <v>&lt; enter the team leaders name here &gt;</v>
      </c>
      <c r="D5" s="69" t="s">
        <v>29</v>
      </c>
      <c r="E5" s="195">
        <f>'Review Information'!E7</f>
        <v>42625</v>
      </c>
    </row>
    <row r="6" spans="1:7" ht="24" customHeight="1" x14ac:dyDescent="0.3">
      <c r="A6" s="12"/>
      <c r="B6" s="69" t="s">
        <v>32</v>
      </c>
      <c r="C6" s="71" t="str">
        <f>'Review Information'!C8</f>
        <v>5) Municipality</v>
      </c>
      <c r="D6" s="69"/>
      <c r="E6" s="73"/>
    </row>
    <row r="7" spans="1:7" x14ac:dyDescent="0.3">
      <c r="C7" s="9"/>
      <c r="D7" s="10"/>
    </row>
    <row r="8" spans="1:7" s="45" customFormat="1" ht="24" customHeight="1" x14ac:dyDescent="0.3">
      <c r="A8" s="66"/>
      <c r="B8" s="163" t="s">
        <v>467</v>
      </c>
    </row>
    <row r="9" spans="1:7" s="45" customFormat="1" ht="24" customHeight="1" x14ac:dyDescent="0.3">
      <c r="A9" s="66"/>
      <c r="B9" s="66"/>
    </row>
    <row r="10" spans="1:7" s="45" customFormat="1" ht="24" customHeight="1" x14ac:dyDescent="0.3">
      <c r="A10" s="55"/>
      <c r="B10" s="162" t="s">
        <v>372</v>
      </c>
      <c r="C10" s="321" t="s">
        <v>126</v>
      </c>
      <c r="D10" s="321"/>
      <c r="E10" s="321" t="s">
        <v>378</v>
      </c>
      <c r="F10" s="321"/>
    </row>
    <row r="11" spans="1:7" s="45" customFormat="1" ht="72" customHeight="1" x14ac:dyDescent="0.3">
      <c r="B11" s="162" t="s">
        <v>373</v>
      </c>
      <c r="C11" s="320" t="s">
        <v>379</v>
      </c>
      <c r="D11" s="320"/>
      <c r="E11" s="320" t="s">
        <v>377</v>
      </c>
      <c r="F11" s="320"/>
    </row>
    <row r="12" spans="1:7" s="45" customFormat="1" ht="72" customHeight="1" x14ac:dyDescent="0.3">
      <c r="B12" s="162" t="s">
        <v>374</v>
      </c>
      <c r="C12" s="320" t="s">
        <v>380</v>
      </c>
      <c r="D12" s="320"/>
      <c r="E12" s="320" t="s">
        <v>383</v>
      </c>
      <c r="F12" s="320"/>
    </row>
    <row r="13" spans="1:7" s="45" customFormat="1" ht="72" customHeight="1" x14ac:dyDescent="0.3">
      <c r="B13" s="162" t="s">
        <v>375</v>
      </c>
      <c r="C13" s="320" t="s">
        <v>381</v>
      </c>
      <c r="D13" s="320"/>
      <c r="E13" s="320" t="s">
        <v>384</v>
      </c>
      <c r="F13" s="320"/>
    </row>
    <row r="14" spans="1:7" s="45" customFormat="1" ht="72" customHeight="1" x14ac:dyDescent="0.3">
      <c r="B14" s="162" t="s">
        <v>376</v>
      </c>
      <c r="C14" s="320" t="s">
        <v>382</v>
      </c>
      <c r="D14" s="320"/>
      <c r="E14" s="320" t="s">
        <v>385</v>
      </c>
      <c r="F14" s="320"/>
    </row>
    <row r="15" spans="1:7" s="45" customFormat="1" ht="14.25" customHeight="1" x14ac:dyDescent="0.3"/>
    <row r="17" spans="1:7" x14ac:dyDescent="0.3">
      <c r="A17" s="258" t="str">
        <f>About!A1</f>
        <v>Urban Forest Sustainability and Management Review (v6.6a Austin)</v>
      </c>
      <c r="B17" s="258"/>
      <c r="C17" s="258"/>
      <c r="D17" s="258"/>
      <c r="E17" s="258"/>
      <c r="F17" s="258"/>
      <c r="G17" s="258"/>
    </row>
    <row r="18" spans="1:7" x14ac:dyDescent="0.3">
      <c r="A18" s="258"/>
      <c r="B18" s="258"/>
      <c r="C18" s="258"/>
      <c r="D18" s="258"/>
      <c r="E18" s="258"/>
      <c r="F18" s="258"/>
      <c r="G18" s="258"/>
    </row>
  </sheetData>
  <sheetProtection selectLockedCells="1"/>
  <mergeCells count="12">
    <mergeCell ref="A17:G18"/>
    <mergeCell ref="C12:D12"/>
    <mergeCell ref="C13:D13"/>
    <mergeCell ref="C14:D14"/>
    <mergeCell ref="A1:G2"/>
    <mergeCell ref="C10:D10"/>
    <mergeCell ref="C11:D11"/>
    <mergeCell ref="E10:F10"/>
    <mergeCell ref="E11:F11"/>
    <mergeCell ref="E12:F12"/>
    <mergeCell ref="E13:F13"/>
    <mergeCell ref="E14:F14"/>
  </mergeCells>
  <hyperlinks>
    <hyperlink ref="G4" location="'TOC - Quick Access'!A1" display="Return to TOC"/>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32"/>
  <sheetViews>
    <sheetView zoomScale="110" zoomScaleNormal="110" workbookViewId="0">
      <selection activeCell="A17" sqref="A17"/>
    </sheetView>
  </sheetViews>
  <sheetFormatPr defaultColWidth="9.109375" defaultRowHeight="14.4" x14ac:dyDescent="0.3"/>
  <cols>
    <col min="1" max="1" width="147.44140625" style="5" customWidth="1"/>
    <col min="2" max="2" width="12.88671875" style="5" customWidth="1"/>
    <col min="3" max="5" width="9.109375" style="5"/>
    <col min="6" max="6" width="10.5546875" style="5" bestFit="1" customWidth="1"/>
    <col min="7" max="16384" width="9.109375" style="5"/>
  </cols>
  <sheetData>
    <row r="1" spans="1:5" ht="15" customHeight="1" x14ac:dyDescent="0.3">
      <c r="A1" s="253" t="str">
        <f>About!A1</f>
        <v>Urban Forest Sustainability and Management Review (v6.6a Austin)</v>
      </c>
      <c r="B1" s="137">
        <f>About!O7</f>
        <v>42789</v>
      </c>
      <c r="C1" s="138"/>
      <c r="D1" s="138"/>
      <c r="E1" s="138"/>
    </row>
    <row r="2" spans="1:5" ht="15" customHeight="1" x14ac:dyDescent="0.3">
      <c r="A2" s="253"/>
      <c r="B2" s="139"/>
      <c r="C2" s="138"/>
      <c r="D2" s="138"/>
      <c r="E2" s="138"/>
    </row>
    <row r="3" spans="1:5" ht="15" customHeight="1" x14ac:dyDescent="0.3">
      <c r="A3" s="140"/>
      <c r="B3" s="141"/>
      <c r="C3" s="138"/>
      <c r="D3" s="138"/>
      <c r="E3" s="138"/>
    </row>
    <row r="4" spans="1:5" ht="24" customHeight="1" x14ac:dyDescent="0.3">
      <c r="A4" s="142"/>
      <c r="B4" s="46" t="s">
        <v>115</v>
      </c>
      <c r="E4" s="138"/>
    </row>
    <row r="5" spans="1:5" ht="24" customHeight="1" x14ac:dyDescent="0.3">
      <c r="A5" s="143" t="s">
        <v>47</v>
      </c>
    </row>
    <row r="6" spans="1:5" ht="24" customHeight="1" x14ac:dyDescent="0.3">
      <c r="A6" s="144" t="s">
        <v>493</v>
      </c>
    </row>
    <row r="7" spans="1:5" ht="24" customHeight="1" x14ac:dyDescent="0.3">
      <c r="A7" s="144" t="s">
        <v>497</v>
      </c>
    </row>
    <row r="8" spans="1:5" ht="24" customHeight="1" x14ac:dyDescent="0.3">
      <c r="A8" s="145" t="s">
        <v>48</v>
      </c>
    </row>
    <row r="9" spans="1:5" ht="24" customHeight="1" x14ac:dyDescent="0.3">
      <c r="A9" s="145" t="s">
        <v>49</v>
      </c>
    </row>
    <row r="10" spans="1:5" ht="24" customHeight="1" x14ac:dyDescent="0.3">
      <c r="A10" s="145" t="s">
        <v>50</v>
      </c>
    </row>
    <row r="11" spans="1:5" ht="24" customHeight="1" x14ac:dyDescent="0.3">
      <c r="A11" s="145" t="s">
        <v>51</v>
      </c>
    </row>
    <row r="12" spans="1:5" ht="24" customHeight="1" x14ac:dyDescent="0.3">
      <c r="A12" s="145" t="s">
        <v>52</v>
      </c>
    </row>
    <row r="13" spans="1:5" ht="60" customHeight="1" x14ac:dyDescent="0.3">
      <c r="A13" s="146" t="s">
        <v>494</v>
      </c>
    </row>
    <row r="14" spans="1:5" ht="36" customHeight="1" x14ac:dyDescent="0.3">
      <c r="A14" s="146" t="s">
        <v>495</v>
      </c>
    </row>
    <row r="16" spans="1:5" ht="24" customHeight="1" x14ac:dyDescent="0.3">
      <c r="A16" s="143" t="s">
        <v>496</v>
      </c>
    </row>
    <row r="17" spans="1:5" ht="144.75" customHeight="1" x14ac:dyDescent="0.3">
      <c r="A17" s="146" t="s">
        <v>498</v>
      </c>
    </row>
    <row r="18" spans="1:5" ht="134.25" customHeight="1" x14ac:dyDescent="0.3">
      <c r="A18" s="146" t="s">
        <v>499</v>
      </c>
    </row>
    <row r="19" spans="1:5" ht="16.5" customHeight="1" x14ac:dyDescent="0.3">
      <c r="A19" s="146"/>
    </row>
    <row r="20" spans="1:5" ht="16.5" customHeight="1" x14ac:dyDescent="0.3">
      <c r="A20" s="143" t="s">
        <v>420</v>
      </c>
    </row>
    <row r="21" spans="1:5" ht="48" customHeight="1" x14ac:dyDescent="0.3">
      <c r="A21" s="146" t="s">
        <v>500</v>
      </c>
    </row>
    <row r="22" spans="1:5" ht="24" customHeight="1" x14ac:dyDescent="0.3">
      <c r="A22" s="146"/>
    </row>
    <row r="23" spans="1:5" ht="24" customHeight="1" x14ac:dyDescent="0.3">
      <c r="A23" s="143" t="s">
        <v>68</v>
      </c>
    </row>
    <row r="24" spans="1:5" ht="24" customHeight="1" x14ac:dyDescent="0.3">
      <c r="A24" s="146" t="s">
        <v>69</v>
      </c>
    </row>
    <row r="25" spans="1:5" ht="24" customHeight="1" x14ac:dyDescent="0.3">
      <c r="A25" s="146" t="s">
        <v>70</v>
      </c>
    </row>
    <row r="26" spans="1:5" ht="24" customHeight="1" x14ac:dyDescent="0.3">
      <c r="A26" s="146" t="s">
        <v>71</v>
      </c>
    </row>
    <row r="27" spans="1:5" ht="24" customHeight="1" x14ac:dyDescent="0.3">
      <c r="A27" s="146" t="s">
        <v>43</v>
      </c>
    </row>
    <row r="28" spans="1:5" ht="24" customHeight="1" x14ac:dyDescent="0.3">
      <c r="A28" s="146" t="s">
        <v>501</v>
      </c>
    </row>
    <row r="29" spans="1:5" x14ac:dyDescent="0.3">
      <c r="A29" s="146" t="s">
        <v>72</v>
      </c>
    </row>
    <row r="30" spans="1:5" ht="15" customHeight="1" x14ac:dyDescent="0.3">
      <c r="B30" s="147"/>
      <c r="C30" s="138"/>
      <c r="D30" s="138"/>
      <c r="E30" s="138"/>
    </row>
    <row r="31" spans="1:5" x14ac:dyDescent="0.3">
      <c r="A31" s="254" t="str">
        <f>About!A1</f>
        <v>Urban Forest Sustainability and Management Review (v6.6a Austin)</v>
      </c>
      <c r="B31" s="147"/>
      <c r="C31" s="138"/>
      <c r="D31" s="138"/>
      <c r="E31" s="138"/>
    </row>
    <row r="32" spans="1:5" x14ac:dyDescent="0.3">
      <c r="A32" s="254"/>
    </row>
  </sheetData>
  <sheetProtection selectLockedCells="1"/>
  <mergeCells count="2">
    <mergeCell ref="A1:A2"/>
    <mergeCell ref="A31:A32"/>
  </mergeCells>
  <hyperlinks>
    <hyperlink ref="B4" location="'TOC - Quick Access'!A1" display="Return to TOC"/>
  </hyperlinks>
  <pageMargins left="1" right="1" top="1.5" bottom="1.5" header="0.5" footer="0.5"/>
  <pageSetup scale="7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75" zoomScaleNormal="75" workbookViewId="0">
      <selection activeCell="M4" sqref="M4"/>
    </sheetView>
  </sheetViews>
  <sheetFormatPr defaultColWidth="9.109375" defaultRowHeight="14.4" x14ac:dyDescent="0.3"/>
  <cols>
    <col min="1" max="1" width="11" style="5" customWidth="1"/>
    <col min="2" max="2" width="36.109375" style="5" customWidth="1"/>
    <col min="3" max="3" width="54.88671875" style="5" customWidth="1"/>
    <col min="4" max="4" width="27.6640625" style="5" customWidth="1"/>
    <col min="5" max="5" width="39.88671875" style="5" customWidth="1"/>
    <col min="6" max="6" width="4.44140625" style="5" customWidth="1"/>
    <col min="7" max="7" width="28.109375" style="5" customWidth="1"/>
    <col min="8" max="8" width="9.88671875" style="5" customWidth="1"/>
    <col min="9" max="9" width="7.88671875" style="5" customWidth="1"/>
    <col min="10" max="11" width="7.44140625" style="5" customWidth="1"/>
    <col min="12" max="12" width="9.88671875" style="5" customWidth="1"/>
    <col min="13" max="13" width="11.6640625" style="5" customWidth="1"/>
    <col min="14" max="16384" width="9.109375" style="5"/>
  </cols>
  <sheetData>
    <row r="1" spans="1:13" ht="15" customHeight="1" x14ac:dyDescent="0.3">
      <c r="A1" s="256" t="str">
        <f>About!A1</f>
        <v>Urban Forest Sustainability and Management Review (v6.6a Austin)</v>
      </c>
      <c r="B1" s="256"/>
      <c r="C1" s="256"/>
      <c r="D1" s="256"/>
      <c r="E1" s="256"/>
      <c r="F1" s="256"/>
      <c r="G1" s="256"/>
      <c r="H1" s="256"/>
      <c r="I1" s="256"/>
      <c r="J1" s="256"/>
      <c r="K1" s="256"/>
      <c r="L1" s="256"/>
      <c r="M1" s="256"/>
    </row>
    <row r="2" spans="1:13" x14ac:dyDescent="0.3">
      <c r="A2" s="256"/>
      <c r="B2" s="256"/>
      <c r="C2" s="256"/>
      <c r="D2" s="256"/>
      <c r="E2" s="256"/>
      <c r="F2" s="256"/>
      <c r="G2" s="256"/>
      <c r="H2" s="256"/>
      <c r="I2" s="256"/>
      <c r="J2" s="256"/>
      <c r="K2" s="256"/>
      <c r="L2" s="256"/>
      <c r="M2" s="256"/>
    </row>
    <row r="3" spans="1:13" x14ac:dyDescent="0.3">
      <c r="C3" s="9"/>
      <c r="D3" s="10"/>
      <c r="H3" s="11"/>
      <c r="I3" s="11"/>
      <c r="J3" s="11"/>
      <c r="K3" s="11"/>
    </row>
    <row r="4" spans="1:13" ht="24" customHeight="1" x14ac:dyDescent="0.3">
      <c r="A4" s="12"/>
      <c r="B4" s="69" t="s">
        <v>31</v>
      </c>
      <c r="C4" s="71" t="str">
        <f>'Review Information'!C6</f>
        <v xml:space="preserve">&lt; enter the name of the city or college &gt; </v>
      </c>
      <c r="D4" s="69" t="s">
        <v>30</v>
      </c>
      <c r="E4" s="71" t="str">
        <f>'Review Information'!E6</f>
        <v>&lt; enter arborist here &gt;</v>
      </c>
      <c r="H4" s="11"/>
      <c r="I4" s="11"/>
      <c r="J4" s="11"/>
      <c r="K4" s="11"/>
      <c r="L4" s="11"/>
      <c r="M4" s="46" t="s">
        <v>115</v>
      </c>
    </row>
    <row r="5" spans="1:13" ht="24" customHeight="1" x14ac:dyDescent="0.3">
      <c r="A5" s="12"/>
      <c r="B5" s="69" t="s">
        <v>0</v>
      </c>
      <c r="C5" s="71" t="str">
        <f>'Review Information'!C7</f>
        <v>&lt; enter the team leaders name here &gt;</v>
      </c>
      <c r="D5" s="69" t="s">
        <v>29</v>
      </c>
      <c r="E5" s="73">
        <f>'Review Information'!E7</f>
        <v>42625</v>
      </c>
      <c r="H5" s="11"/>
      <c r="I5" s="11"/>
      <c r="J5" s="11"/>
      <c r="K5" s="11"/>
    </row>
    <row r="6" spans="1:13" ht="24" customHeight="1" x14ac:dyDescent="0.3">
      <c r="A6" s="12"/>
      <c r="B6" s="69" t="s">
        <v>32</v>
      </c>
      <c r="C6" s="71" t="str">
        <f>'Review Information'!C8</f>
        <v>5) Municipality</v>
      </c>
      <c r="D6" s="69"/>
      <c r="E6" s="73"/>
      <c r="H6" s="11"/>
      <c r="I6" s="11"/>
      <c r="J6" s="11"/>
      <c r="K6" s="11"/>
    </row>
    <row r="7" spans="1:13" x14ac:dyDescent="0.3">
      <c r="C7" s="9"/>
      <c r="D7" s="10"/>
      <c r="H7" s="11"/>
      <c r="I7" s="11"/>
      <c r="J7" s="11"/>
      <c r="K7" s="11"/>
    </row>
    <row r="8" spans="1:13" ht="18" x14ac:dyDescent="0.3">
      <c r="A8" s="13"/>
      <c r="B8" s="66" t="s">
        <v>402</v>
      </c>
    </row>
    <row r="11" spans="1:13" ht="21" x14ac:dyDescent="0.4">
      <c r="C11" s="240" t="s">
        <v>439</v>
      </c>
    </row>
    <row r="56" spans="1:13" x14ac:dyDescent="0.3">
      <c r="A56" s="258" t="str">
        <f>About!A1</f>
        <v>Urban Forest Sustainability and Management Review (v6.6a Austin)</v>
      </c>
      <c r="B56" s="258"/>
      <c r="C56" s="258"/>
      <c r="D56" s="258"/>
      <c r="E56" s="258"/>
      <c r="F56" s="258"/>
      <c r="G56" s="258"/>
      <c r="H56" s="258"/>
      <c r="I56" s="258"/>
      <c r="J56" s="258"/>
      <c r="K56" s="258"/>
      <c r="L56" s="258"/>
      <c r="M56" s="258"/>
    </row>
    <row r="57" spans="1:13" x14ac:dyDescent="0.3">
      <c r="A57" s="258"/>
      <c r="B57" s="258"/>
      <c r="C57" s="258"/>
      <c r="D57" s="258"/>
      <c r="E57" s="258"/>
      <c r="F57" s="258"/>
      <c r="G57" s="258"/>
      <c r="H57" s="258"/>
      <c r="I57" s="258"/>
      <c r="J57" s="258"/>
      <c r="K57" s="258"/>
      <c r="L57" s="258"/>
      <c r="M57" s="258"/>
    </row>
  </sheetData>
  <sheetProtection selectLockedCells="1"/>
  <mergeCells count="2">
    <mergeCell ref="A1:M2"/>
    <mergeCell ref="A56:M57"/>
  </mergeCells>
  <hyperlinks>
    <hyperlink ref="M4" location="'TOC - Quick Access'!A1" display="Return to TOC"/>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U72"/>
  <sheetViews>
    <sheetView workbookViewId="0">
      <selection activeCell="U6" sqref="U6"/>
    </sheetView>
  </sheetViews>
  <sheetFormatPr defaultColWidth="9.109375" defaultRowHeight="14.4" x14ac:dyDescent="0.3"/>
  <cols>
    <col min="1" max="14" width="9.109375" style="5"/>
    <col min="15" max="15" width="10.88671875" style="5" customWidth="1"/>
    <col min="16" max="16384" width="9.109375" style="5"/>
  </cols>
  <sheetData>
    <row r="1" spans="1:21" x14ac:dyDescent="0.3">
      <c r="A1" s="253" t="str">
        <f>About!A1</f>
        <v>Urban Forest Sustainability and Management Review (v6.6a Austin)</v>
      </c>
      <c r="B1" s="253"/>
      <c r="C1" s="253"/>
      <c r="D1" s="253"/>
      <c r="E1" s="253"/>
      <c r="F1" s="253"/>
      <c r="G1" s="253"/>
      <c r="H1" s="253"/>
      <c r="I1" s="253"/>
      <c r="J1" s="253"/>
      <c r="K1" s="253"/>
      <c r="L1" s="253"/>
      <c r="M1" s="253"/>
      <c r="N1" s="253"/>
      <c r="O1" s="253"/>
      <c r="P1" s="253"/>
      <c r="Q1" s="253"/>
      <c r="R1" s="253"/>
      <c r="S1" s="253"/>
      <c r="T1" s="253"/>
      <c r="U1" s="253"/>
    </row>
    <row r="2" spans="1:21" x14ac:dyDescent="0.3">
      <c r="A2" s="253"/>
      <c r="B2" s="253"/>
      <c r="C2" s="253"/>
      <c r="D2" s="253"/>
      <c r="E2" s="253"/>
      <c r="F2" s="253"/>
      <c r="G2" s="253"/>
      <c r="H2" s="253"/>
      <c r="I2" s="253"/>
      <c r="J2" s="253"/>
      <c r="K2" s="253"/>
      <c r="L2" s="253"/>
      <c r="M2" s="253"/>
      <c r="N2" s="253"/>
      <c r="O2" s="253"/>
      <c r="P2" s="253"/>
      <c r="Q2" s="253"/>
      <c r="R2" s="253"/>
      <c r="S2" s="253"/>
      <c r="T2" s="253"/>
      <c r="U2" s="253"/>
    </row>
    <row r="3" spans="1:21" x14ac:dyDescent="0.3">
      <c r="A3" s="8"/>
    </row>
    <row r="4" spans="1:21" ht="24" customHeight="1" x14ac:dyDescent="0.3">
      <c r="A4" s="39" t="s">
        <v>441</v>
      </c>
      <c r="B4" s="39"/>
      <c r="C4" s="39"/>
      <c r="D4" s="39"/>
      <c r="E4" s="39"/>
      <c r="F4" s="39"/>
      <c r="G4" s="39"/>
      <c r="H4" s="39"/>
      <c r="I4" s="39"/>
      <c r="J4" s="39"/>
      <c r="K4" s="39"/>
      <c r="U4" s="186">
        <f>About!O7</f>
        <v>42789</v>
      </c>
    </row>
    <row r="5" spans="1:21" ht="24" customHeight="1" x14ac:dyDescent="0.3">
      <c r="A5" s="45" t="s">
        <v>442</v>
      </c>
      <c r="B5" s="39"/>
      <c r="C5" s="39"/>
      <c r="D5" s="39"/>
      <c r="E5" s="39"/>
      <c r="F5" s="39"/>
      <c r="G5" s="39"/>
      <c r="H5" s="39"/>
      <c r="I5" s="39"/>
      <c r="J5" s="39"/>
      <c r="K5" s="39"/>
      <c r="O5" s="154"/>
    </row>
    <row r="6" spans="1:21" ht="24" customHeight="1" x14ac:dyDescent="0.3">
      <c r="A6" s="45" t="s">
        <v>440</v>
      </c>
      <c r="B6" s="198"/>
      <c r="C6" s="198"/>
      <c r="D6" s="198"/>
      <c r="E6" s="198"/>
      <c r="F6" s="198"/>
      <c r="G6" s="198"/>
      <c r="H6" s="198"/>
      <c r="I6" s="198"/>
      <c r="J6" s="198"/>
      <c r="K6" s="198"/>
      <c r="L6" s="159"/>
      <c r="M6" s="10"/>
      <c r="U6" s="46" t="s">
        <v>115</v>
      </c>
    </row>
    <row r="7" spans="1:21" ht="24" customHeight="1" x14ac:dyDescent="0.3">
      <c r="A7" s="45" t="s">
        <v>398</v>
      </c>
      <c r="B7" s="198"/>
      <c r="C7" s="198"/>
      <c r="D7" s="198"/>
      <c r="E7" s="198"/>
      <c r="F7" s="198"/>
      <c r="G7" s="198"/>
      <c r="H7" s="198"/>
      <c r="I7" s="198"/>
      <c r="J7" s="198"/>
      <c r="K7" s="198"/>
      <c r="L7" s="159"/>
      <c r="O7" s="187"/>
    </row>
    <row r="8" spans="1:21" ht="24" customHeight="1" x14ac:dyDescent="0.3">
      <c r="A8" s="45" t="s">
        <v>443</v>
      </c>
      <c r="B8" s="39"/>
      <c r="C8" s="39"/>
      <c r="D8" s="39"/>
      <c r="E8" s="39"/>
      <c r="F8" s="39"/>
      <c r="G8" s="39"/>
      <c r="H8" s="39"/>
      <c r="I8" s="39"/>
      <c r="J8" s="39"/>
      <c r="K8" s="39"/>
    </row>
    <row r="9" spans="1:21" ht="24" customHeight="1" x14ac:dyDescent="0.3">
      <c r="A9" s="322" t="s">
        <v>444</v>
      </c>
      <c r="B9" s="322"/>
      <c r="C9" s="322"/>
      <c r="D9" s="322"/>
      <c r="E9" s="322"/>
      <c r="F9" s="322"/>
      <c r="G9" s="322"/>
      <c r="H9" s="322"/>
      <c r="I9" s="322"/>
      <c r="J9" s="322"/>
      <c r="K9" s="322"/>
      <c r="L9" s="322"/>
      <c r="M9" s="322"/>
      <c r="N9" s="322"/>
    </row>
    <row r="10" spans="1:21" ht="24" customHeight="1" x14ac:dyDescent="0.3">
      <c r="A10" s="45" t="s">
        <v>221</v>
      </c>
      <c r="B10" s="39"/>
      <c r="C10" s="39"/>
      <c r="D10" s="39"/>
      <c r="E10" s="39"/>
      <c r="F10" s="39"/>
      <c r="G10" s="39"/>
      <c r="H10" s="39"/>
      <c r="I10" s="39"/>
      <c r="J10" s="39"/>
      <c r="K10" s="39"/>
    </row>
    <row r="11" spans="1:21" ht="24" customHeight="1" x14ac:dyDescent="0.3">
      <c r="A11" s="45" t="s">
        <v>114</v>
      </c>
      <c r="B11" s="39"/>
      <c r="C11" s="39"/>
      <c r="D11" s="160" t="s">
        <v>115</v>
      </c>
      <c r="E11" s="198" t="s">
        <v>137</v>
      </c>
      <c r="F11" s="39"/>
      <c r="G11" s="39"/>
      <c r="H11" s="39"/>
      <c r="I11" s="39"/>
      <c r="J11" s="39"/>
      <c r="K11" s="39"/>
    </row>
    <row r="12" spans="1:21" ht="24" customHeight="1" x14ac:dyDescent="0.3">
      <c r="A12" s="45" t="s">
        <v>396</v>
      </c>
      <c r="B12" s="185"/>
      <c r="C12" s="39"/>
      <c r="D12" s="39"/>
      <c r="E12" s="39"/>
      <c r="F12" s="39"/>
      <c r="G12" s="39"/>
      <c r="H12" s="39"/>
      <c r="I12" s="39"/>
      <c r="J12" s="39"/>
      <c r="K12" s="39"/>
    </row>
    <row r="13" spans="1:21" ht="24" customHeight="1" x14ac:dyDescent="0.3">
      <c r="A13" s="45" t="s">
        <v>397</v>
      </c>
      <c r="B13" s="39"/>
      <c r="C13" s="39"/>
      <c r="D13" s="39"/>
      <c r="E13" s="39"/>
      <c r="F13" s="39"/>
      <c r="G13" s="39"/>
      <c r="H13" s="39"/>
      <c r="I13" s="39"/>
      <c r="J13" s="39"/>
      <c r="K13" s="39"/>
    </row>
    <row r="14" spans="1:21" ht="24" customHeight="1" x14ac:dyDescent="0.3"/>
    <row r="71" spans="1:21" x14ac:dyDescent="0.3">
      <c r="A71" s="254" t="str">
        <f>About!A1</f>
        <v>Urban Forest Sustainability and Management Review (v6.6a Austin)</v>
      </c>
      <c r="B71" s="254"/>
      <c r="C71" s="254"/>
      <c r="D71" s="254"/>
      <c r="E71" s="254"/>
      <c r="F71" s="254"/>
      <c r="G71" s="254"/>
      <c r="H71" s="254"/>
      <c r="I71" s="254"/>
      <c r="J71" s="254"/>
      <c r="K71" s="254"/>
      <c r="L71" s="254"/>
      <c r="M71" s="254"/>
      <c r="N71" s="254"/>
      <c r="O71" s="254"/>
      <c r="P71" s="254"/>
      <c r="Q71" s="254"/>
      <c r="R71" s="254"/>
      <c r="S71" s="254"/>
      <c r="T71" s="254"/>
      <c r="U71" s="254"/>
    </row>
    <row r="72" spans="1:21" x14ac:dyDescent="0.3">
      <c r="A72" s="254"/>
      <c r="B72" s="254"/>
      <c r="C72" s="254"/>
      <c r="D72" s="254"/>
      <c r="E72" s="254"/>
      <c r="F72" s="254"/>
      <c r="G72" s="254"/>
      <c r="H72" s="254"/>
      <c r="I72" s="254"/>
      <c r="J72" s="254"/>
      <c r="K72" s="254"/>
      <c r="L72" s="254"/>
      <c r="M72" s="254"/>
      <c r="N72" s="254"/>
      <c r="O72" s="254"/>
      <c r="P72" s="254"/>
      <c r="Q72" s="254"/>
      <c r="R72" s="254"/>
      <c r="S72" s="254"/>
      <c r="T72" s="254"/>
      <c r="U72" s="254"/>
    </row>
  </sheetData>
  <sheetProtection selectLockedCells="1"/>
  <mergeCells count="3">
    <mergeCell ref="A1:U2"/>
    <mergeCell ref="A71:U72"/>
    <mergeCell ref="A9:N9"/>
  </mergeCells>
  <hyperlinks>
    <hyperlink ref="D11" location="'TOC - Quick Access'!A1" display="Return to TOC"/>
    <hyperlink ref="U6" location="'TOC - Quick Access'!A1" display="Return to TOC"/>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75" zoomScaleNormal="75" workbookViewId="0">
      <selection activeCell="M4" sqref="M4"/>
    </sheetView>
  </sheetViews>
  <sheetFormatPr defaultColWidth="9.109375" defaultRowHeight="14.4" x14ac:dyDescent="0.3"/>
  <cols>
    <col min="1" max="1" width="11" style="5" customWidth="1"/>
    <col min="2" max="2" width="36.109375" style="5" customWidth="1"/>
    <col min="3" max="3" width="54.88671875" style="5" customWidth="1"/>
    <col min="4" max="4" width="27.6640625" style="5" customWidth="1"/>
    <col min="5" max="5" width="39.88671875" style="5" customWidth="1"/>
    <col min="6" max="6" width="4.44140625" style="5" customWidth="1"/>
    <col min="7" max="7" width="28.109375" style="5" customWidth="1"/>
    <col min="8" max="8" width="9.88671875" style="5" customWidth="1"/>
    <col min="9" max="9" width="7.88671875" style="5" customWidth="1"/>
    <col min="10" max="11" width="7.44140625" style="5" customWidth="1"/>
    <col min="12" max="12" width="9.88671875" style="5" customWidth="1"/>
    <col min="13" max="13" width="11.6640625" style="5" customWidth="1"/>
    <col min="14" max="16384" width="9.109375" style="5"/>
  </cols>
  <sheetData>
    <row r="1" spans="1:13" ht="15" customHeight="1" x14ac:dyDescent="0.3">
      <c r="A1" s="256" t="str">
        <f>About!A1</f>
        <v>Urban Forest Sustainability and Management Review (v6.6a Austin)</v>
      </c>
      <c r="B1" s="256"/>
      <c r="C1" s="256"/>
      <c r="D1" s="256"/>
      <c r="E1" s="256"/>
      <c r="F1" s="256"/>
      <c r="G1" s="256"/>
      <c r="H1" s="256"/>
      <c r="I1" s="256"/>
      <c r="J1" s="256"/>
      <c r="K1" s="256"/>
      <c r="L1" s="256"/>
      <c r="M1" s="256"/>
    </row>
    <row r="2" spans="1:13" x14ac:dyDescent="0.3">
      <c r="A2" s="256"/>
      <c r="B2" s="256"/>
      <c r="C2" s="256"/>
      <c r="D2" s="256"/>
      <c r="E2" s="256"/>
      <c r="F2" s="256"/>
      <c r="G2" s="256"/>
      <c r="H2" s="256"/>
      <c r="I2" s="256"/>
      <c r="J2" s="256"/>
      <c r="K2" s="256"/>
      <c r="L2" s="256"/>
      <c r="M2" s="256"/>
    </row>
    <row r="3" spans="1:13" x14ac:dyDescent="0.3">
      <c r="C3" s="9"/>
      <c r="D3" s="10"/>
      <c r="H3" s="11"/>
      <c r="I3" s="11"/>
      <c r="J3" s="11"/>
      <c r="K3" s="11"/>
    </row>
    <row r="4" spans="1:13" ht="24" customHeight="1" x14ac:dyDescent="0.3">
      <c r="A4" s="12"/>
      <c r="B4" s="69" t="s">
        <v>31</v>
      </c>
      <c r="C4" s="71" t="str">
        <f>'Review Information'!C6</f>
        <v xml:space="preserve">&lt; enter the name of the city or college &gt; </v>
      </c>
      <c r="D4" s="69" t="s">
        <v>30</v>
      </c>
      <c r="E4" s="71" t="str">
        <f>'Review Information'!E6</f>
        <v>&lt; enter arborist here &gt;</v>
      </c>
      <c r="H4" s="11"/>
      <c r="I4" s="11"/>
      <c r="J4" s="11"/>
      <c r="K4" s="11"/>
      <c r="L4" s="11"/>
      <c r="M4" s="46" t="s">
        <v>115</v>
      </c>
    </row>
    <row r="5" spans="1:13" ht="24" customHeight="1" x14ac:dyDescent="0.3">
      <c r="A5" s="12"/>
      <c r="B5" s="69" t="s">
        <v>0</v>
      </c>
      <c r="C5" s="71" t="str">
        <f>'Review Information'!C7</f>
        <v>&lt; enter the team leaders name here &gt;</v>
      </c>
      <c r="D5" s="69" t="s">
        <v>29</v>
      </c>
      <c r="E5" s="73">
        <f>'Review Information'!E7</f>
        <v>42625</v>
      </c>
      <c r="H5" s="11"/>
      <c r="I5" s="11"/>
      <c r="J5" s="11"/>
      <c r="K5" s="11"/>
    </row>
    <row r="6" spans="1:13" ht="24" customHeight="1" x14ac:dyDescent="0.3">
      <c r="A6" s="12"/>
      <c r="B6" s="69" t="s">
        <v>32</v>
      </c>
      <c r="C6" s="71" t="str">
        <f>'Review Information'!C8</f>
        <v>5) Municipality</v>
      </c>
      <c r="D6" s="69"/>
      <c r="E6" s="73"/>
      <c r="H6" s="11"/>
      <c r="I6" s="11"/>
      <c r="J6" s="11"/>
      <c r="K6" s="11"/>
    </row>
    <row r="7" spans="1:13" x14ac:dyDescent="0.3">
      <c r="C7" s="9"/>
      <c r="D7" s="10"/>
      <c r="H7" s="11"/>
      <c r="I7" s="11"/>
      <c r="J7" s="11"/>
      <c r="K7" s="11"/>
    </row>
    <row r="8" spans="1:13" ht="18" x14ac:dyDescent="0.3">
      <c r="A8" s="13"/>
      <c r="B8" s="66" t="s">
        <v>412</v>
      </c>
    </row>
    <row r="11" spans="1:13" ht="21" x14ac:dyDescent="0.4">
      <c r="C11" s="240" t="s">
        <v>439</v>
      </c>
    </row>
    <row r="56" spans="1:13" x14ac:dyDescent="0.3">
      <c r="A56" s="258" t="str">
        <f>About!A1</f>
        <v>Urban Forest Sustainability and Management Review (v6.6a Austin)</v>
      </c>
      <c r="B56" s="258"/>
      <c r="C56" s="258"/>
      <c r="D56" s="258"/>
      <c r="E56" s="258"/>
      <c r="F56" s="258"/>
      <c r="G56" s="258"/>
      <c r="H56" s="258"/>
      <c r="I56" s="258"/>
      <c r="J56" s="258"/>
      <c r="K56" s="258"/>
      <c r="L56" s="258"/>
      <c r="M56" s="258"/>
    </row>
    <row r="57" spans="1:13" x14ac:dyDescent="0.3">
      <c r="A57" s="258"/>
      <c r="B57" s="258"/>
      <c r="C57" s="258"/>
      <c r="D57" s="258"/>
      <c r="E57" s="258"/>
      <c r="F57" s="258"/>
      <c r="G57" s="258"/>
      <c r="H57" s="258"/>
      <c r="I57" s="258"/>
      <c r="J57" s="258"/>
      <c r="K57" s="258"/>
      <c r="L57" s="258"/>
      <c r="M57" s="258"/>
    </row>
  </sheetData>
  <sheetProtection selectLockedCells="1"/>
  <mergeCells count="2">
    <mergeCell ref="A1:M2"/>
    <mergeCell ref="A56:M57"/>
  </mergeCells>
  <hyperlinks>
    <hyperlink ref="M4" location="'TOC - Quick Access'!A1" display="Return to TOC"/>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O19"/>
  <sheetViews>
    <sheetView workbookViewId="0">
      <selection activeCell="O4" sqref="O4"/>
    </sheetView>
  </sheetViews>
  <sheetFormatPr defaultColWidth="9.109375" defaultRowHeight="14.4" x14ac:dyDescent="0.3"/>
  <cols>
    <col min="1" max="12" width="9.109375" style="5"/>
    <col min="13" max="13" width="9.88671875" style="5" bestFit="1" customWidth="1"/>
    <col min="14" max="14" width="9.109375" style="5"/>
    <col min="15" max="15" width="10.109375" style="5" customWidth="1"/>
    <col min="16" max="16384" width="9.109375" style="5"/>
  </cols>
  <sheetData>
    <row r="1" spans="1:15" x14ac:dyDescent="0.3">
      <c r="A1" s="253" t="s">
        <v>506</v>
      </c>
      <c r="B1" s="253"/>
      <c r="C1" s="253"/>
      <c r="D1" s="253"/>
      <c r="E1" s="253"/>
      <c r="F1" s="253"/>
      <c r="G1" s="253"/>
      <c r="H1" s="253"/>
      <c r="I1" s="253"/>
      <c r="J1" s="253"/>
      <c r="K1" s="253"/>
      <c r="L1" s="253"/>
      <c r="M1" s="253"/>
      <c r="N1" s="253"/>
      <c r="O1" s="253"/>
    </row>
    <row r="2" spans="1:15" x14ac:dyDescent="0.3">
      <c r="A2" s="253"/>
      <c r="B2" s="253"/>
      <c r="C2" s="253"/>
      <c r="D2" s="253"/>
      <c r="E2" s="253"/>
      <c r="F2" s="253"/>
      <c r="G2" s="253"/>
      <c r="H2" s="253"/>
      <c r="I2" s="253"/>
      <c r="J2" s="253"/>
      <c r="K2" s="253"/>
      <c r="L2" s="253"/>
      <c r="M2" s="253"/>
      <c r="N2" s="253"/>
      <c r="O2" s="253"/>
    </row>
    <row r="3" spans="1:15" x14ac:dyDescent="0.3">
      <c r="A3" s="140"/>
      <c r="B3" s="140"/>
      <c r="C3" s="140"/>
      <c r="D3" s="140"/>
      <c r="E3" s="140"/>
      <c r="F3" s="140"/>
      <c r="G3" s="140"/>
      <c r="H3" s="140"/>
      <c r="I3" s="140"/>
      <c r="J3" s="140"/>
      <c r="K3" s="140"/>
      <c r="L3" s="140"/>
      <c r="M3" s="140"/>
      <c r="N3" s="140"/>
      <c r="O3" s="140"/>
    </row>
    <row r="4" spans="1:15" ht="24" customHeight="1" x14ac:dyDescent="0.3">
      <c r="A4" s="140"/>
      <c r="B4" s="140"/>
      <c r="C4" s="140"/>
      <c r="D4" s="140"/>
      <c r="E4" s="140"/>
      <c r="F4" s="140"/>
      <c r="G4" s="140"/>
      <c r="H4" s="140"/>
      <c r="I4" s="140"/>
      <c r="J4" s="140"/>
      <c r="K4" s="140"/>
      <c r="L4" s="140"/>
      <c r="M4" s="140"/>
      <c r="O4" s="46" t="s">
        <v>115</v>
      </c>
    </row>
    <row r="6" spans="1:15" x14ac:dyDescent="0.3">
      <c r="A6" s="5" t="s">
        <v>419</v>
      </c>
      <c r="B6" s="8" t="s">
        <v>445</v>
      </c>
    </row>
    <row r="7" spans="1:15" x14ac:dyDescent="0.3">
      <c r="B7" s="5" t="s">
        <v>392</v>
      </c>
      <c r="O7" s="154">
        <v>42789</v>
      </c>
    </row>
    <row r="8" spans="1:15" x14ac:dyDescent="0.3">
      <c r="N8" s="136"/>
    </row>
    <row r="9" spans="1:15" x14ac:dyDescent="0.3">
      <c r="B9" s="5" t="s">
        <v>77</v>
      </c>
    </row>
    <row r="10" spans="1:15" x14ac:dyDescent="0.3">
      <c r="C10" s="5" t="s">
        <v>78</v>
      </c>
    </row>
    <row r="11" spans="1:15" x14ac:dyDescent="0.3">
      <c r="C11" s="155" t="s">
        <v>79</v>
      </c>
      <c r="G11" s="155"/>
    </row>
    <row r="12" spans="1:15" x14ac:dyDescent="0.3">
      <c r="C12" s="5" t="s">
        <v>80</v>
      </c>
    </row>
    <row r="14" spans="1:15" x14ac:dyDescent="0.3">
      <c r="B14" s="5" t="s">
        <v>466</v>
      </c>
    </row>
    <row r="15" spans="1:15" x14ac:dyDescent="0.3">
      <c r="B15" s="5" t="s">
        <v>470</v>
      </c>
    </row>
    <row r="16" spans="1:15" x14ac:dyDescent="0.3">
      <c r="B16" s="5" t="s">
        <v>393</v>
      </c>
    </row>
    <row r="18" spans="1:15" x14ac:dyDescent="0.3">
      <c r="A18" s="254" t="str">
        <f>A1</f>
        <v>Urban Forest Sustainability and Management Review (v6.6a Austin)</v>
      </c>
      <c r="B18" s="254"/>
      <c r="C18" s="254"/>
      <c r="D18" s="254"/>
      <c r="E18" s="254"/>
      <c r="F18" s="254"/>
      <c r="G18" s="254"/>
      <c r="H18" s="254"/>
      <c r="I18" s="254"/>
      <c r="J18" s="254"/>
      <c r="K18" s="254"/>
      <c r="L18" s="254"/>
      <c r="M18" s="254"/>
      <c r="N18" s="254"/>
      <c r="O18" s="254"/>
    </row>
    <row r="19" spans="1:15" x14ac:dyDescent="0.3">
      <c r="A19" s="254"/>
      <c r="B19" s="254"/>
      <c r="C19" s="254"/>
      <c r="D19" s="254"/>
      <c r="E19" s="254"/>
      <c r="F19" s="254"/>
      <c r="G19" s="254"/>
      <c r="H19" s="254"/>
      <c r="I19" s="254"/>
      <c r="J19" s="254"/>
      <c r="K19" s="254"/>
      <c r="L19" s="254"/>
      <c r="M19" s="254"/>
      <c r="N19" s="254"/>
      <c r="O19" s="254"/>
    </row>
  </sheetData>
  <sheetProtection selectLockedCells="1"/>
  <mergeCells count="2">
    <mergeCell ref="A1:O2"/>
    <mergeCell ref="A18:O19"/>
  </mergeCells>
  <hyperlinks>
    <hyperlink ref="C11" r:id="rId1"/>
    <hyperlink ref="O4" location="'TOC - Quick Access'!A1" display="Return to TOC"/>
  </hyperlinks>
  <pageMargins left="0.7" right="0.7" top="0.75" bottom="0.75" header="0.3" footer="0.3"/>
  <pageSetup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19"/>
  <sheetViews>
    <sheetView zoomScaleNormal="100" workbookViewId="0">
      <selection activeCell="B16" sqref="B16"/>
    </sheetView>
  </sheetViews>
  <sheetFormatPr defaultColWidth="9.109375" defaultRowHeight="14.4" x14ac:dyDescent="0.3"/>
  <cols>
    <col min="1" max="1" width="35.6640625" style="5" customWidth="1"/>
    <col min="2" max="2" width="38" style="5" customWidth="1"/>
    <col min="3" max="3" width="38.6640625" style="5" customWidth="1"/>
    <col min="4" max="16384" width="9.109375" style="5"/>
  </cols>
  <sheetData>
    <row r="1" spans="1:15" x14ac:dyDescent="0.3">
      <c r="A1" s="253" t="str">
        <f>About!A1</f>
        <v>Urban Forest Sustainability and Management Review (v6.6a Austin)</v>
      </c>
      <c r="B1" s="253"/>
      <c r="C1" s="253"/>
      <c r="D1" s="156"/>
      <c r="E1" s="156"/>
      <c r="F1" s="156"/>
      <c r="G1" s="156"/>
      <c r="H1" s="156"/>
      <c r="I1" s="156"/>
      <c r="J1" s="156"/>
      <c r="K1" s="156"/>
      <c r="L1" s="156"/>
      <c r="M1" s="156"/>
      <c r="N1" s="156"/>
      <c r="O1" s="156"/>
    </row>
    <row r="2" spans="1:15" x14ac:dyDescent="0.3">
      <c r="A2" s="253"/>
      <c r="B2" s="253"/>
      <c r="C2" s="253"/>
      <c r="D2" s="156"/>
      <c r="E2" s="156"/>
      <c r="F2" s="156"/>
      <c r="G2" s="156"/>
      <c r="H2" s="156"/>
      <c r="I2" s="156"/>
      <c r="J2" s="156"/>
      <c r="K2" s="156"/>
      <c r="L2" s="156"/>
      <c r="M2" s="156"/>
      <c r="N2" s="156"/>
      <c r="O2" s="156"/>
    </row>
    <row r="3" spans="1:15" x14ac:dyDescent="0.3">
      <c r="A3" s="140"/>
      <c r="B3" s="136"/>
      <c r="F3" s="140"/>
      <c r="G3" s="140"/>
      <c r="H3" s="140"/>
      <c r="I3" s="140"/>
      <c r="J3" s="140"/>
      <c r="K3" s="140"/>
      <c r="L3" s="140"/>
      <c r="M3" s="140"/>
      <c r="N3" s="140"/>
      <c r="O3" s="140"/>
    </row>
    <row r="4" spans="1:15" ht="24" customHeight="1" x14ac:dyDescent="0.3">
      <c r="A4" s="140"/>
      <c r="B4" s="136"/>
      <c r="C4" s="46" t="s">
        <v>115</v>
      </c>
      <c r="F4" s="140"/>
      <c r="G4" s="140"/>
      <c r="H4" s="140"/>
      <c r="I4" s="140"/>
      <c r="J4" s="140"/>
      <c r="K4" s="140"/>
      <c r="L4" s="140"/>
      <c r="M4" s="140"/>
      <c r="N4" s="140"/>
      <c r="O4" s="140"/>
    </row>
    <row r="6" spans="1:15" ht="15.6" x14ac:dyDescent="0.3">
      <c r="A6" s="14" t="s">
        <v>35</v>
      </c>
      <c r="B6" s="14" t="s">
        <v>43</v>
      </c>
      <c r="C6" s="14" t="s">
        <v>64</v>
      </c>
    </row>
    <row r="7" spans="1:15" ht="15.6" x14ac:dyDescent="0.3">
      <c r="A7" s="157" t="s">
        <v>40</v>
      </c>
      <c r="B7" s="157" t="s">
        <v>37</v>
      </c>
      <c r="C7" s="157" t="s">
        <v>38</v>
      </c>
    </row>
    <row r="8" spans="1:15" ht="15.6" x14ac:dyDescent="0.3">
      <c r="A8" s="157" t="s">
        <v>41</v>
      </c>
      <c r="B8" s="157" t="s">
        <v>38</v>
      </c>
      <c r="C8" s="157" t="s">
        <v>46</v>
      </c>
    </row>
    <row r="9" spans="1:15" ht="15.6" x14ac:dyDescent="0.3">
      <c r="A9" s="157" t="s">
        <v>42</v>
      </c>
      <c r="B9" s="157" t="s">
        <v>46</v>
      </c>
      <c r="C9" s="157" t="s">
        <v>39</v>
      </c>
    </row>
    <row r="10" spans="1:15" ht="15.6" x14ac:dyDescent="0.3">
      <c r="A10" s="157" t="s">
        <v>62</v>
      </c>
      <c r="B10" s="157" t="s">
        <v>39</v>
      </c>
      <c r="C10" s="157"/>
    </row>
    <row r="11" spans="1:15" ht="15.6" x14ac:dyDescent="0.3">
      <c r="A11" s="157" t="s">
        <v>61</v>
      </c>
      <c r="B11" s="157"/>
      <c r="C11" s="157"/>
    </row>
    <row r="12" spans="1:15" ht="15.6" x14ac:dyDescent="0.3">
      <c r="A12" s="157" t="s">
        <v>60</v>
      </c>
      <c r="B12" s="157"/>
      <c r="C12" s="157"/>
    </row>
    <row r="16" spans="1:15" x14ac:dyDescent="0.3">
      <c r="A16" s="158" t="s">
        <v>222</v>
      </c>
      <c r="B16" s="19" t="s">
        <v>131</v>
      </c>
      <c r="D16" s="136"/>
      <c r="E16" s="148"/>
    </row>
    <row r="18" spans="1:15" x14ac:dyDescent="0.3">
      <c r="A18" s="254" t="str">
        <f>About!A1</f>
        <v>Urban Forest Sustainability and Management Review (v6.6a Austin)</v>
      </c>
      <c r="B18" s="254"/>
      <c r="C18" s="254"/>
      <c r="D18" s="156"/>
      <c r="E18" s="156"/>
      <c r="F18" s="156"/>
      <c r="G18" s="156"/>
      <c r="H18" s="156"/>
      <c r="I18" s="156"/>
      <c r="J18" s="156"/>
      <c r="K18" s="156"/>
      <c r="L18" s="156"/>
      <c r="M18" s="156"/>
      <c r="N18" s="156"/>
      <c r="O18" s="156"/>
    </row>
    <row r="19" spans="1:15" x14ac:dyDescent="0.3">
      <c r="A19" s="254"/>
      <c r="B19" s="254"/>
      <c r="C19" s="254"/>
      <c r="D19" s="156"/>
      <c r="E19" s="156"/>
      <c r="F19" s="156"/>
      <c r="G19" s="156"/>
      <c r="H19" s="156"/>
      <c r="I19" s="156"/>
      <c r="J19" s="156"/>
      <c r="K19" s="156"/>
      <c r="L19" s="156"/>
      <c r="M19" s="156"/>
      <c r="N19" s="156"/>
      <c r="O19" s="156"/>
    </row>
  </sheetData>
  <sheetProtection selectLockedCells="1"/>
  <sortState ref="A2:A4">
    <sortCondition ref="A2:A4"/>
  </sortState>
  <mergeCells count="2">
    <mergeCell ref="A1:C2"/>
    <mergeCell ref="A18:C19"/>
  </mergeCells>
  <hyperlinks>
    <hyperlink ref="C4" location="'TOC - Quick Access'!A1" display="Return to TOC"/>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39"/>
  <sheetViews>
    <sheetView zoomScale="80" zoomScaleNormal="80" workbookViewId="0">
      <selection activeCell="B16" sqref="B16"/>
    </sheetView>
  </sheetViews>
  <sheetFormatPr defaultColWidth="9.109375" defaultRowHeight="14.4" x14ac:dyDescent="0.3"/>
  <cols>
    <col min="1" max="1" width="6.33203125" style="5" customWidth="1"/>
    <col min="2" max="2" width="24.5546875" style="5" customWidth="1"/>
    <col min="3" max="3" width="58.33203125" style="5" customWidth="1"/>
    <col min="4" max="4" width="26.44140625" style="5" customWidth="1"/>
    <col min="5" max="5" width="30.6640625" style="5" customWidth="1"/>
    <col min="6" max="16384" width="9.109375" style="5"/>
  </cols>
  <sheetData>
    <row r="1" spans="1:7" ht="15" customHeight="1" x14ac:dyDescent="0.3">
      <c r="A1" s="256" t="str">
        <f>About!A1</f>
        <v>Urban Forest Sustainability and Management Review (v6.6a Austin)</v>
      </c>
      <c r="B1" s="257"/>
      <c r="C1" s="257"/>
      <c r="D1" s="257"/>
      <c r="E1" s="257"/>
    </row>
    <row r="2" spans="1:7" x14ac:dyDescent="0.3">
      <c r="A2" s="257"/>
      <c r="B2" s="257"/>
      <c r="C2" s="257"/>
      <c r="D2" s="257"/>
      <c r="E2" s="257"/>
    </row>
    <row r="3" spans="1:7" x14ac:dyDescent="0.3">
      <c r="A3" s="44"/>
      <c r="B3" s="44"/>
      <c r="C3" s="44"/>
      <c r="D3" s="44"/>
      <c r="E3" s="44"/>
    </row>
    <row r="4" spans="1:7" ht="24" customHeight="1" x14ac:dyDescent="0.3">
      <c r="C4" s="9"/>
      <c r="D4" s="10"/>
      <c r="E4" s="46" t="s">
        <v>115</v>
      </c>
      <c r="F4" s="136"/>
      <c r="G4" s="136"/>
    </row>
    <row r="5" spans="1:7" ht="24" customHeight="1" x14ac:dyDescent="0.3">
      <c r="C5" s="9"/>
      <c r="D5" s="10"/>
      <c r="F5" s="136"/>
      <c r="G5" s="148"/>
    </row>
    <row r="6" spans="1:7" ht="24" customHeight="1" x14ac:dyDescent="0.3">
      <c r="A6" s="12"/>
      <c r="B6" s="69" t="s">
        <v>31</v>
      </c>
      <c r="C6" s="70" t="s">
        <v>415</v>
      </c>
      <c r="D6" s="69" t="s">
        <v>30</v>
      </c>
      <c r="E6" s="70" t="s">
        <v>418</v>
      </c>
    </row>
    <row r="7" spans="1:7" ht="24" customHeight="1" x14ac:dyDescent="0.3">
      <c r="A7" s="12"/>
      <c r="B7" s="69" t="s">
        <v>502</v>
      </c>
      <c r="C7" s="70" t="s">
        <v>416</v>
      </c>
      <c r="D7" s="69" t="s">
        <v>29</v>
      </c>
      <c r="E7" s="192">
        <v>42625</v>
      </c>
    </row>
    <row r="8" spans="1:7" ht="24" customHeight="1" x14ac:dyDescent="0.3">
      <c r="A8" s="12"/>
      <c r="B8" s="69" t="s">
        <v>32</v>
      </c>
      <c r="C8" s="70" t="s">
        <v>61</v>
      </c>
      <c r="D8" s="69"/>
      <c r="E8" s="73"/>
    </row>
    <row r="9" spans="1:7" ht="24" customHeight="1" x14ac:dyDescent="0.3">
      <c r="B9" s="69" t="s">
        <v>65</v>
      </c>
      <c r="C9" s="70" t="s">
        <v>46</v>
      </c>
      <c r="D9" s="10"/>
      <c r="E9" s="74"/>
    </row>
    <row r="10" spans="1:7" ht="24" customHeight="1" x14ac:dyDescent="0.3">
      <c r="C10" s="45"/>
    </row>
    <row r="11" spans="1:7" ht="24" customHeight="1" x14ac:dyDescent="0.3">
      <c r="B11" s="69" t="s">
        <v>55</v>
      </c>
      <c r="C11" s="2" t="s">
        <v>469</v>
      </c>
      <c r="D11" s="149" t="s">
        <v>468</v>
      </c>
    </row>
    <row r="12" spans="1:7" ht="24" customHeight="1" x14ac:dyDescent="0.3">
      <c r="B12" s="69"/>
    </row>
    <row r="13" spans="1:7" ht="24" customHeight="1" x14ac:dyDescent="0.3">
      <c r="B13" s="69"/>
      <c r="C13" s="2" t="s">
        <v>417</v>
      </c>
      <c r="D13" s="149" t="s">
        <v>139</v>
      </c>
    </row>
    <row r="14" spans="1:7" ht="24" customHeight="1" x14ac:dyDescent="0.3">
      <c r="B14" s="69"/>
      <c r="C14" s="2" t="s">
        <v>417</v>
      </c>
    </row>
    <row r="15" spans="1:7" ht="24" customHeight="1" x14ac:dyDescent="0.3">
      <c r="C15" s="2" t="s">
        <v>417</v>
      </c>
    </row>
    <row r="16" spans="1:7" ht="24" customHeight="1" x14ac:dyDescent="0.3">
      <c r="C16" s="2" t="s">
        <v>417</v>
      </c>
    </row>
    <row r="17" spans="1:5" ht="24" customHeight="1" x14ac:dyDescent="0.3">
      <c r="C17" s="2" t="s">
        <v>417</v>
      </c>
    </row>
    <row r="18" spans="1:5" ht="24" customHeight="1" x14ac:dyDescent="0.3">
      <c r="C18" s="2" t="s">
        <v>417</v>
      </c>
    </row>
    <row r="19" spans="1:5" ht="24" customHeight="1" x14ac:dyDescent="0.3">
      <c r="C19" s="2" t="s">
        <v>417</v>
      </c>
    </row>
    <row r="20" spans="1:5" ht="24" customHeight="1" x14ac:dyDescent="0.3">
      <c r="C20" s="2" t="s">
        <v>417</v>
      </c>
    </row>
    <row r="21" spans="1:5" ht="24" customHeight="1" x14ac:dyDescent="0.3">
      <c r="C21" s="2" t="s">
        <v>417</v>
      </c>
    </row>
    <row r="22" spans="1:5" ht="24" customHeight="1" x14ac:dyDescent="0.35">
      <c r="C22" s="1"/>
    </row>
    <row r="23" spans="1:5" x14ac:dyDescent="0.3">
      <c r="C23" s="150"/>
    </row>
    <row r="24" spans="1:5" ht="15" customHeight="1" x14ac:dyDescent="0.3">
      <c r="A24" s="258" t="str">
        <f>About!A1</f>
        <v>Urban Forest Sustainability and Management Review (v6.6a Austin)</v>
      </c>
      <c r="B24" s="259"/>
      <c r="C24" s="259"/>
      <c r="D24" s="259"/>
      <c r="E24" s="259"/>
    </row>
    <row r="25" spans="1:5" x14ac:dyDescent="0.3">
      <c r="A25" s="259"/>
      <c r="B25" s="259"/>
      <c r="C25" s="259"/>
      <c r="D25" s="259"/>
      <c r="E25" s="259"/>
    </row>
    <row r="26" spans="1:5" x14ac:dyDescent="0.3">
      <c r="C26" s="150"/>
    </row>
    <row r="27" spans="1:5" x14ac:dyDescent="0.3">
      <c r="C27" s="150"/>
    </row>
    <row r="28" spans="1:5" x14ac:dyDescent="0.3">
      <c r="C28" s="150"/>
    </row>
    <row r="29" spans="1:5" x14ac:dyDescent="0.3">
      <c r="C29" s="150"/>
    </row>
    <row r="30" spans="1:5" x14ac:dyDescent="0.3">
      <c r="C30" s="150"/>
    </row>
    <row r="32" spans="1:5" x14ac:dyDescent="0.3">
      <c r="C32" s="150"/>
    </row>
    <row r="33" spans="3:3" x14ac:dyDescent="0.3">
      <c r="C33" s="150"/>
    </row>
    <row r="34" spans="3:3" x14ac:dyDescent="0.3">
      <c r="C34" s="150"/>
    </row>
    <row r="35" spans="3:3" x14ac:dyDescent="0.3">
      <c r="C35" s="150"/>
    </row>
    <row r="36" spans="3:3" x14ac:dyDescent="0.3">
      <c r="C36" s="150"/>
    </row>
    <row r="37" spans="3:3" x14ac:dyDescent="0.3">
      <c r="C37" s="150"/>
    </row>
    <row r="38" spans="3:3" x14ac:dyDescent="0.3">
      <c r="C38" s="150"/>
    </row>
    <row r="39" spans="3:3" x14ac:dyDescent="0.3">
      <c r="C39" s="150"/>
    </row>
  </sheetData>
  <sheetProtection selectLockedCells="1"/>
  <mergeCells count="2">
    <mergeCell ref="A1:E2"/>
    <mergeCell ref="A24:E25"/>
  </mergeCells>
  <dataValidations count="1">
    <dataValidation type="date" allowBlank="1" showInputMessage="1" showErrorMessage="1" sqref="E7">
      <formula1>41649</formula1>
      <formula2>73050</formula2>
    </dataValidation>
  </dataValidations>
  <hyperlinks>
    <hyperlink ref="E4" location="'TOC - Quick Access'!A1" display="Return to TOC"/>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the best entity description for your management and sustainabiity audit.">
          <x14:formula1>
            <xm:f>'Dropdown Lists'!$A$7:$A$12</xm:f>
          </x14:formula1>
          <xm:sqref>C8</xm:sqref>
        </x14:dataValidation>
        <x14:dataValidation type="list" allowBlank="1" showInputMessage="1" showErrorMessage="1" prompt="Select an evaluation goal (level) for your community or campus.">
          <x14:formula1>
            <xm:f>'Dropdown Lists'!$C$7:$C$9</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9"/>
  <sheetViews>
    <sheetView zoomScale="66" zoomScaleNormal="66" workbookViewId="0">
      <selection activeCell="B157" sqref="B157"/>
    </sheetView>
  </sheetViews>
  <sheetFormatPr defaultColWidth="9.109375" defaultRowHeight="14.4" outlineLevelRow="2" x14ac:dyDescent="0.3"/>
  <cols>
    <col min="1" max="1" width="5.44140625" style="5" customWidth="1"/>
    <col min="2" max="2" width="52.6640625" style="5" customWidth="1"/>
    <col min="3" max="3" width="54.88671875" style="5" customWidth="1"/>
    <col min="4" max="4" width="27.6640625" style="5" customWidth="1"/>
    <col min="5" max="5" width="32" style="5" customWidth="1"/>
    <col min="6" max="6" width="4.44140625" style="5" customWidth="1"/>
    <col min="7" max="7" width="27.21875" style="5" customWidth="1"/>
    <col min="8" max="8" width="10.5546875" style="5" customWidth="1"/>
    <col min="9" max="18" width="12.6640625" style="5" customWidth="1"/>
    <col min="19" max="16384" width="9.109375" style="5"/>
  </cols>
  <sheetData>
    <row r="1" spans="1:20" ht="15" customHeight="1" x14ac:dyDescent="0.3">
      <c r="A1" s="200" t="str">
        <f>About!A1</f>
        <v>Urban Forest Sustainability and Management Review (v6.6a Austin)</v>
      </c>
      <c r="B1" s="200"/>
      <c r="C1" s="200"/>
      <c r="D1" s="200"/>
      <c r="E1" s="200"/>
      <c r="F1" s="200"/>
      <c r="G1" s="200"/>
      <c r="H1" s="200"/>
      <c r="I1" s="200"/>
      <c r="J1" s="200"/>
      <c r="K1" s="200"/>
      <c r="L1" s="200"/>
      <c r="M1" s="200"/>
      <c r="N1" s="200"/>
      <c r="O1" s="200"/>
      <c r="P1" s="200"/>
      <c r="Q1" s="200"/>
      <c r="R1" s="200"/>
    </row>
    <row r="2" spans="1:20" ht="15" customHeight="1" x14ac:dyDescent="0.3">
      <c r="A2" s="200"/>
      <c r="B2" s="200"/>
      <c r="C2" s="200"/>
      <c r="D2" s="200"/>
      <c r="E2" s="200"/>
      <c r="F2" s="200"/>
      <c r="G2" s="200"/>
      <c r="H2" s="200"/>
      <c r="I2" s="200"/>
      <c r="J2" s="200"/>
      <c r="K2" s="200"/>
      <c r="L2" s="200"/>
      <c r="M2" s="200"/>
      <c r="N2" s="200"/>
      <c r="O2" s="200"/>
      <c r="P2" s="200"/>
      <c r="Q2" s="200"/>
      <c r="R2" s="200"/>
    </row>
    <row r="3" spans="1:20" x14ac:dyDescent="0.3">
      <c r="C3" s="9"/>
      <c r="D3" s="10"/>
    </row>
    <row r="4" spans="1:20" ht="24" customHeight="1" x14ac:dyDescent="0.3">
      <c r="A4" s="12"/>
      <c r="B4" s="69" t="s">
        <v>31</v>
      </c>
      <c r="C4" s="71" t="str">
        <f>'Review Information'!C6</f>
        <v xml:space="preserve">&lt; enter the name of the city or college &gt; </v>
      </c>
      <c r="D4" s="69" t="s">
        <v>30</v>
      </c>
      <c r="E4" s="71" t="str">
        <f>'Review Information'!E6</f>
        <v>&lt; enter arborist here &gt;</v>
      </c>
      <c r="R4" s="46" t="s">
        <v>115</v>
      </c>
    </row>
    <row r="5" spans="1:20" ht="24" customHeight="1" x14ac:dyDescent="0.3">
      <c r="A5" s="12"/>
      <c r="B5" s="69" t="s">
        <v>0</v>
      </c>
      <c r="C5" s="71" t="str">
        <f>'Review Information'!C7</f>
        <v>&lt; enter the team leaders name here &gt;</v>
      </c>
      <c r="D5" s="69" t="s">
        <v>29</v>
      </c>
      <c r="E5" s="73">
        <f>'Review Information'!E7</f>
        <v>42625</v>
      </c>
    </row>
    <row r="6" spans="1:20" ht="24" customHeight="1" x14ac:dyDescent="0.3">
      <c r="A6" s="12"/>
      <c r="B6" s="69" t="s">
        <v>32</v>
      </c>
      <c r="C6" s="71" t="str">
        <f>'Review Information'!C8</f>
        <v>5) Municipality</v>
      </c>
      <c r="D6" s="69"/>
      <c r="E6" s="73"/>
      <c r="I6" s="220" t="s">
        <v>434</v>
      </c>
    </row>
    <row r="7" spans="1:20" ht="15.6" x14ac:dyDescent="0.3">
      <c r="C7" s="9"/>
      <c r="D7" s="10"/>
      <c r="I7" s="219" t="s">
        <v>438</v>
      </c>
      <c r="J7" s="218"/>
      <c r="K7" s="218"/>
      <c r="L7" s="218"/>
      <c r="M7" s="218"/>
      <c r="N7" s="218"/>
      <c r="O7" s="218"/>
      <c r="P7" s="218"/>
      <c r="Q7" s="218"/>
      <c r="R7" s="218"/>
    </row>
    <row r="8" spans="1:20" ht="18" x14ac:dyDescent="0.3">
      <c r="A8" s="13"/>
      <c r="B8" s="66" t="s">
        <v>424</v>
      </c>
      <c r="J8" s="218"/>
      <c r="K8" s="218"/>
      <c r="L8" s="218"/>
      <c r="M8" s="218"/>
      <c r="N8" s="218"/>
      <c r="O8" s="218"/>
      <c r="P8" s="218"/>
      <c r="Q8" s="218"/>
      <c r="R8" s="218"/>
    </row>
    <row r="9" spans="1:20" ht="18" x14ac:dyDescent="0.3">
      <c r="A9" s="13"/>
      <c r="B9" s="66"/>
    </row>
    <row r="10" spans="1:20" ht="18" x14ac:dyDescent="0.3">
      <c r="A10" s="13"/>
      <c r="B10" s="222" t="s">
        <v>421</v>
      </c>
    </row>
    <row r="11" spans="1:20" ht="18" x14ac:dyDescent="0.3">
      <c r="A11" s="13"/>
      <c r="B11" s="222" t="s">
        <v>425</v>
      </c>
    </row>
    <row r="12" spans="1:20" ht="18" x14ac:dyDescent="0.3">
      <c r="A12" s="13"/>
      <c r="B12" s="222" t="s">
        <v>428</v>
      </c>
      <c r="I12" s="261" t="s">
        <v>437</v>
      </c>
      <c r="J12" s="261"/>
      <c r="K12" s="261"/>
      <c r="L12" s="261"/>
      <c r="M12" s="261"/>
      <c r="N12" s="261"/>
      <c r="O12" s="261"/>
      <c r="P12" s="261"/>
      <c r="Q12" s="261"/>
      <c r="R12" s="261"/>
      <c r="S12" s="261"/>
      <c r="T12" s="261"/>
    </row>
    <row r="13" spans="1:20" ht="18" x14ac:dyDescent="0.3">
      <c r="A13" s="13"/>
      <c r="B13" s="222" t="s">
        <v>503</v>
      </c>
      <c r="I13" s="261" t="s">
        <v>436</v>
      </c>
      <c r="J13" s="261"/>
      <c r="K13" s="261"/>
      <c r="L13" s="261"/>
      <c r="M13" s="261"/>
      <c r="N13" s="261"/>
      <c r="O13" s="261"/>
      <c r="P13" s="261"/>
      <c r="Q13" s="261"/>
      <c r="R13" s="261"/>
      <c r="S13" s="261"/>
      <c r="T13" s="261"/>
    </row>
    <row r="14" spans="1:20" ht="18" x14ac:dyDescent="0.3">
      <c r="A14" s="13"/>
      <c r="B14" s="222" t="s">
        <v>422</v>
      </c>
      <c r="I14" s="260" t="s">
        <v>435</v>
      </c>
      <c r="J14" s="260"/>
      <c r="K14" s="260"/>
      <c r="L14" s="260"/>
      <c r="M14" s="260"/>
      <c r="N14" s="260"/>
      <c r="O14" s="260"/>
      <c r="P14" s="260"/>
      <c r="Q14" s="260"/>
      <c r="R14" s="260"/>
      <c r="S14" s="7"/>
      <c r="T14" s="7"/>
    </row>
    <row r="15" spans="1:20" ht="18" customHeight="1" x14ac:dyDescent="0.3">
      <c r="A15" s="7"/>
      <c r="B15" s="7"/>
      <c r="C15" s="7"/>
      <c r="D15" s="7"/>
      <c r="E15" s="7"/>
      <c r="F15" s="7"/>
      <c r="G15" s="275"/>
      <c r="H15" s="275"/>
      <c r="I15" s="268" t="s">
        <v>403</v>
      </c>
      <c r="J15" s="269"/>
      <c r="K15" s="269"/>
      <c r="L15" s="269"/>
      <c r="M15" s="269"/>
      <c r="N15" s="269"/>
      <c r="O15" s="269"/>
      <c r="P15" s="269"/>
      <c r="Q15" s="269"/>
      <c r="R15" s="270"/>
      <c r="S15" s="203"/>
    </row>
    <row r="16" spans="1:20" ht="18" customHeight="1" x14ac:dyDescent="0.3">
      <c r="A16" s="190"/>
      <c r="B16" s="197" t="s">
        <v>430</v>
      </c>
      <c r="C16" s="213" t="s">
        <v>431</v>
      </c>
      <c r="D16" s="266" t="s">
        <v>423</v>
      </c>
      <c r="E16" s="266"/>
      <c r="F16" s="266" t="s">
        <v>432</v>
      </c>
      <c r="G16" s="266"/>
      <c r="H16" s="214"/>
      <c r="I16" s="215" t="s">
        <v>404</v>
      </c>
      <c r="J16" s="216" t="s">
        <v>405</v>
      </c>
      <c r="K16" s="216" t="s">
        <v>406</v>
      </c>
      <c r="L16" s="216" t="s">
        <v>84</v>
      </c>
      <c r="M16" s="216" t="s">
        <v>85</v>
      </c>
      <c r="N16" s="216" t="s">
        <v>407</v>
      </c>
      <c r="O16" s="216" t="s">
        <v>408</v>
      </c>
      <c r="P16" s="216" t="s">
        <v>409</v>
      </c>
      <c r="Q16" s="216" t="s">
        <v>410</v>
      </c>
      <c r="R16" s="217" t="s">
        <v>89</v>
      </c>
      <c r="S16" s="191"/>
    </row>
    <row r="17" spans="1:19" ht="18" customHeight="1" x14ac:dyDescent="0.3">
      <c r="A17" s="204"/>
      <c r="B17" s="223" t="str">
        <f>'Policy &amp; Ordinances'!B8</f>
        <v>Management Policy and Ordinances</v>
      </c>
      <c r="C17" s="205"/>
      <c r="D17" s="267"/>
      <c r="E17" s="267"/>
      <c r="F17" s="267"/>
      <c r="G17" s="267"/>
      <c r="H17" s="267"/>
      <c r="I17" s="224">
        <f t="shared" ref="I17:R17" si="0">SUM(I18:I32)</f>
        <v>0</v>
      </c>
      <c r="J17" s="225">
        <f t="shared" si="0"/>
        <v>0</v>
      </c>
      <c r="K17" s="225">
        <f t="shared" si="0"/>
        <v>0</v>
      </c>
      <c r="L17" s="225">
        <f t="shared" si="0"/>
        <v>0</v>
      </c>
      <c r="M17" s="225">
        <f t="shared" si="0"/>
        <v>0</v>
      </c>
      <c r="N17" s="225">
        <f t="shared" si="0"/>
        <v>0</v>
      </c>
      <c r="O17" s="225">
        <f t="shared" si="0"/>
        <v>0</v>
      </c>
      <c r="P17" s="225">
        <f t="shared" si="0"/>
        <v>0</v>
      </c>
      <c r="Q17" s="225">
        <f t="shared" si="0"/>
        <v>0</v>
      </c>
      <c r="R17" s="226">
        <f t="shared" si="0"/>
        <v>0</v>
      </c>
    </row>
    <row r="18" spans="1:19" ht="18" hidden="1" customHeight="1" outlineLevel="1" x14ac:dyDescent="0.3">
      <c r="A18" s="204"/>
      <c r="B18" s="227">
        <v>1.01</v>
      </c>
      <c r="C18" s="228" t="s">
        <v>4</v>
      </c>
      <c r="D18" s="264"/>
      <c r="E18" s="264"/>
      <c r="F18" s="262"/>
      <c r="G18" s="262"/>
      <c r="H18" s="263"/>
      <c r="I18" s="208" t="s">
        <v>433</v>
      </c>
      <c r="J18" s="209" t="s">
        <v>433</v>
      </c>
      <c r="K18" s="209" t="s">
        <v>433</v>
      </c>
      <c r="L18" s="209" t="s">
        <v>433</v>
      </c>
      <c r="M18" s="209" t="s">
        <v>433</v>
      </c>
      <c r="N18" s="209" t="s">
        <v>433</v>
      </c>
      <c r="O18" s="209" t="s">
        <v>433</v>
      </c>
      <c r="P18" s="209" t="s">
        <v>433</v>
      </c>
      <c r="Q18" s="209" t="s">
        <v>433</v>
      </c>
      <c r="R18" s="210" t="s">
        <v>433</v>
      </c>
    </row>
    <row r="19" spans="1:19" ht="18" hidden="1" customHeight="1" outlineLevel="1" x14ac:dyDescent="0.3">
      <c r="A19" s="204"/>
      <c r="B19" s="229">
        <f>B18+0.01</f>
        <v>1.02</v>
      </c>
      <c r="C19" s="230" t="str">
        <f>'Policy &amp; Ordinances'!B12</f>
        <v>Climate Change (Sustainability)</v>
      </c>
      <c r="D19" s="265"/>
      <c r="E19" s="265"/>
      <c r="F19" s="262"/>
      <c r="G19" s="262"/>
      <c r="H19" s="263"/>
      <c r="I19" s="212">
        <v>0</v>
      </c>
      <c r="J19" s="209">
        <v>0</v>
      </c>
      <c r="K19" s="211">
        <v>0</v>
      </c>
      <c r="L19" s="209"/>
      <c r="M19" s="209"/>
      <c r="N19" s="209"/>
      <c r="O19" s="209"/>
      <c r="P19" s="209"/>
      <c r="Q19" s="209"/>
      <c r="R19" s="210"/>
    </row>
    <row r="20" spans="1:19" ht="18" hidden="1" customHeight="1" outlineLevel="1" x14ac:dyDescent="0.3">
      <c r="A20" s="204"/>
      <c r="B20" s="229">
        <f t="shared" ref="B20:B32" si="1">B19+0.01</f>
        <v>1.03</v>
      </c>
      <c r="C20" s="230" t="str">
        <f>'Policy &amp; Ordinances'!B13</f>
        <v>No Net Loss</v>
      </c>
      <c r="D20" s="264"/>
      <c r="E20" s="264"/>
      <c r="F20" s="262"/>
      <c r="G20" s="262"/>
      <c r="H20" s="263"/>
      <c r="I20" s="208"/>
      <c r="J20" s="209"/>
      <c r="K20" s="209"/>
      <c r="L20" s="209"/>
      <c r="M20" s="209"/>
      <c r="N20" s="209"/>
      <c r="O20" s="209"/>
      <c r="P20" s="209"/>
      <c r="Q20" s="209"/>
      <c r="R20" s="210"/>
    </row>
    <row r="21" spans="1:19" ht="18" hidden="1" customHeight="1" outlineLevel="1" x14ac:dyDescent="0.3">
      <c r="A21" s="204"/>
      <c r="B21" s="229">
        <f t="shared" si="1"/>
        <v>1.04</v>
      </c>
      <c r="C21" s="230" t="str">
        <f>'Policy &amp; Ordinances'!B14</f>
        <v>Risk Management</v>
      </c>
      <c r="D21" s="265"/>
      <c r="E21" s="265"/>
      <c r="F21" s="276"/>
      <c r="G21" s="276"/>
      <c r="H21" s="277"/>
      <c r="I21" s="212">
        <v>0</v>
      </c>
      <c r="J21" s="209"/>
      <c r="K21" s="209"/>
      <c r="L21" s="209"/>
      <c r="M21" s="209"/>
      <c r="N21" s="209"/>
      <c r="O21" s="211">
        <v>0</v>
      </c>
      <c r="P21" s="209"/>
      <c r="Q21" s="209"/>
      <c r="R21" s="210"/>
    </row>
    <row r="22" spans="1:19" ht="18" hidden="1" customHeight="1" outlineLevel="1" x14ac:dyDescent="0.3">
      <c r="A22" s="204"/>
      <c r="B22" s="229">
        <f t="shared" si="1"/>
        <v>1.05</v>
      </c>
      <c r="C22" s="230" t="str">
        <f>'Policy &amp; Ordinances'!B15</f>
        <v>Tree Canopy Goals</v>
      </c>
      <c r="D22" s="264"/>
      <c r="E22" s="264"/>
      <c r="F22" s="262"/>
      <c r="G22" s="262"/>
      <c r="H22" s="263"/>
      <c r="I22" s="208"/>
      <c r="J22" s="209"/>
      <c r="K22" s="209"/>
      <c r="L22" s="209"/>
      <c r="M22" s="209"/>
      <c r="N22" s="209"/>
      <c r="O22" s="209"/>
      <c r="P22" s="209"/>
      <c r="Q22" s="209"/>
      <c r="R22" s="210"/>
    </row>
    <row r="23" spans="1:19" ht="18" hidden="1" customHeight="1" outlineLevel="1" x14ac:dyDescent="0.3">
      <c r="A23" s="204"/>
      <c r="B23" s="229">
        <f t="shared" si="1"/>
        <v>1.06</v>
      </c>
      <c r="C23" s="230" t="str">
        <f>'Policy &amp; Ordinances'!B16</f>
        <v>Tree Protection</v>
      </c>
      <c r="D23" s="264"/>
      <c r="E23" s="264"/>
      <c r="F23" s="262"/>
      <c r="G23" s="262"/>
      <c r="H23" s="263"/>
      <c r="I23" s="208"/>
      <c r="J23" s="209"/>
      <c r="K23" s="209"/>
      <c r="L23" s="209"/>
      <c r="M23" s="209"/>
      <c r="N23" s="209"/>
      <c r="O23" s="209"/>
      <c r="P23" s="209"/>
      <c r="Q23" s="209"/>
      <c r="R23" s="210"/>
    </row>
    <row r="24" spans="1:19" ht="18" hidden="1" customHeight="1" outlineLevel="1" x14ac:dyDescent="0.3">
      <c r="A24" s="204"/>
      <c r="B24" s="229">
        <f t="shared" si="1"/>
        <v>1.07</v>
      </c>
      <c r="C24" s="230" t="str">
        <f>'Policy &amp; Ordinances'!B17</f>
        <v>Utility</v>
      </c>
      <c r="D24" s="264"/>
      <c r="E24" s="264"/>
      <c r="F24" s="262"/>
      <c r="G24" s="262"/>
      <c r="H24" s="263"/>
      <c r="I24" s="208"/>
      <c r="J24" s="209"/>
      <c r="K24" s="209"/>
      <c r="L24" s="209"/>
      <c r="M24" s="209"/>
      <c r="N24" s="209"/>
      <c r="O24" s="209"/>
      <c r="P24" s="209"/>
      <c r="Q24" s="209"/>
      <c r="R24" s="210"/>
    </row>
    <row r="25" spans="1:19" ht="18" hidden="1" customHeight="1" outlineLevel="1" x14ac:dyDescent="0.3">
      <c r="A25" s="204"/>
      <c r="B25" s="229">
        <f t="shared" si="1"/>
        <v>1.08</v>
      </c>
      <c r="C25" s="230" t="str">
        <f>'Policy &amp; Ordinances'!B18</f>
        <v>Human Health – Physical &amp; Psychological</v>
      </c>
      <c r="D25" s="264"/>
      <c r="E25" s="264"/>
      <c r="F25" s="262"/>
      <c r="G25" s="262"/>
      <c r="H25" s="263"/>
      <c r="I25" s="208"/>
      <c r="J25" s="209"/>
      <c r="K25" s="209"/>
      <c r="L25" s="209"/>
      <c r="M25" s="209"/>
      <c r="N25" s="209"/>
      <c r="O25" s="209"/>
      <c r="P25" s="209"/>
      <c r="Q25" s="209"/>
      <c r="R25" s="210"/>
    </row>
    <row r="26" spans="1:19" ht="18" hidden="1" customHeight="1" outlineLevel="1" x14ac:dyDescent="0.3">
      <c r="A26" s="204"/>
      <c r="B26" s="229">
        <f t="shared" si="1"/>
        <v>1.0900000000000001</v>
      </c>
      <c r="C26" s="230" t="str">
        <f>'Policy &amp; Ordinances'!B19</f>
        <v>Wildlife Diversity/Habitat/Protection</v>
      </c>
      <c r="D26" s="264"/>
      <c r="E26" s="264"/>
      <c r="F26" s="262"/>
      <c r="G26" s="262"/>
      <c r="H26" s="263"/>
      <c r="I26" s="208"/>
      <c r="J26" s="209"/>
      <c r="K26" s="209"/>
      <c r="L26" s="209"/>
      <c r="M26" s="209"/>
      <c r="N26" s="209"/>
      <c r="O26" s="209"/>
      <c r="P26" s="209"/>
      <c r="Q26" s="209"/>
      <c r="R26" s="210"/>
    </row>
    <row r="27" spans="1:19" ht="18" hidden="1" customHeight="1" outlineLevel="1" x14ac:dyDescent="0.3">
      <c r="A27" s="204"/>
      <c r="B27" s="229">
        <f t="shared" si="1"/>
        <v>1.1000000000000001</v>
      </c>
      <c r="C27" s="230" t="str">
        <f>'Policy &amp; Ordinances'!B20</f>
        <v>Performance Monitoring</v>
      </c>
      <c r="D27" s="264"/>
      <c r="E27" s="264"/>
      <c r="F27" s="262"/>
      <c r="G27" s="262"/>
      <c r="H27" s="263"/>
      <c r="I27" s="208"/>
      <c r="J27" s="209"/>
      <c r="K27" s="209"/>
      <c r="L27" s="209"/>
      <c r="M27" s="209"/>
      <c r="N27" s="209"/>
      <c r="O27" s="209"/>
      <c r="P27" s="209"/>
      <c r="Q27" s="209"/>
      <c r="R27" s="210"/>
    </row>
    <row r="28" spans="1:19" ht="18" hidden="1" customHeight="1" outlineLevel="1" x14ac:dyDescent="0.3">
      <c r="A28" s="204"/>
      <c r="B28" s="229">
        <f t="shared" si="1"/>
        <v>1.1100000000000001</v>
      </c>
      <c r="C28" s="228" t="str">
        <f>'Policy &amp; Ordinances'!B21</f>
        <v>Ordinance (Private) V</v>
      </c>
      <c r="D28" s="264"/>
      <c r="E28" s="264"/>
      <c r="F28" s="262"/>
      <c r="G28" s="262"/>
      <c r="H28" s="263"/>
      <c r="I28" s="208"/>
      <c r="J28" s="209"/>
      <c r="K28" s="209"/>
      <c r="L28" s="209"/>
      <c r="M28" s="209"/>
      <c r="N28" s="209"/>
      <c r="O28" s="209"/>
      <c r="P28" s="209"/>
      <c r="Q28" s="209"/>
      <c r="R28" s="210"/>
    </row>
    <row r="29" spans="1:19" ht="18" hidden="1" customHeight="1" outlineLevel="1" x14ac:dyDescent="0.3">
      <c r="A29" s="204"/>
      <c r="B29" s="229">
        <f t="shared" si="1"/>
        <v>1.1200000000000001</v>
      </c>
      <c r="C29" s="228" t="str">
        <f>'Policy &amp; Ordinances'!B22</f>
        <v>Ordinance (Public)</v>
      </c>
      <c r="D29" s="264"/>
      <c r="E29" s="264"/>
      <c r="F29" s="262"/>
      <c r="G29" s="262"/>
      <c r="H29" s="263"/>
      <c r="I29" s="208"/>
      <c r="J29" s="209"/>
      <c r="K29" s="209"/>
      <c r="L29" s="209"/>
      <c r="M29" s="209"/>
      <c r="N29" s="209"/>
      <c r="O29" s="209"/>
      <c r="P29" s="209"/>
      <c r="Q29" s="209"/>
      <c r="R29" s="210"/>
    </row>
    <row r="30" spans="1:19" ht="18" hidden="1" customHeight="1" outlineLevel="1" x14ac:dyDescent="0.3">
      <c r="A30" s="204"/>
      <c r="B30" s="229">
        <f t="shared" si="1"/>
        <v>1.1300000000000001</v>
      </c>
      <c r="C30" s="228" t="str">
        <f>'Policy &amp; Ordinances'!B23</f>
        <v>Development Standards</v>
      </c>
      <c r="D30" s="264"/>
      <c r="E30" s="264"/>
      <c r="F30" s="262"/>
      <c r="G30" s="262"/>
      <c r="H30" s="263"/>
      <c r="I30" s="208" t="s">
        <v>433</v>
      </c>
      <c r="J30" s="209" t="s">
        <v>433</v>
      </c>
      <c r="K30" s="209" t="s">
        <v>433</v>
      </c>
      <c r="L30" s="209" t="s">
        <v>433</v>
      </c>
      <c r="M30" s="209" t="s">
        <v>433</v>
      </c>
      <c r="N30" s="209" t="s">
        <v>433</v>
      </c>
      <c r="O30" s="209" t="s">
        <v>433</v>
      </c>
      <c r="P30" s="209" t="s">
        <v>433</v>
      </c>
      <c r="Q30" s="209" t="s">
        <v>433</v>
      </c>
      <c r="R30" s="210" t="s">
        <v>433</v>
      </c>
      <c r="S30" s="231"/>
    </row>
    <row r="31" spans="1:19" ht="18" hidden="1" customHeight="1" outlineLevel="1" x14ac:dyDescent="0.3">
      <c r="A31" s="204"/>
      <c r="B31" s="229">
        <f t="shared" si="1"/>
        <v>1.1400000000000001</v>
      </c>
      <c r="C31" s="228" t="str">
        <f>'Policy &amp; Ordinances'!B24</f>
        <v>High-Conservation Value Forests</v>
      </c>
      <c r="D31" s="264"/>
      <c r="E31" s="264"/>
      <c r="F31" s="262"/>
      <c r="G31" s="262"/>
      <c r="H31" s="263"/>
      <c r="I31" s="208" t="s">
        <v>433</v>
      </c>
      <c r="J31" s="209" t="s">
        <v>433</v>
      </c>
      <c r="K31" s="209" t="s">
        <v>433</v>
      </c>
      <c r="L31" s="209" t="s">
        <v>433</v>
      </c>
      <c r="M31" s="209" t="s">
        <v>433</v>
      </c>
      <c r="N31" s="209" t="s">
        <v>433</v>
      </c>
      <c r="O31" s="209" t="s">
        <v>433</v>
      </c>
      <c r="P31" s="209" t="s">
        <v>433</v>
      </c>
      <c r="Q31" s="209" t="s">
        <v>433</v>
      </c>
      <c r="R31" s="210" t="s">
        <v>433</v>
      </c>
      <c r="S31" s="231"/>
    </row>
    <row r="32" spans="1:19" ht="18" hidden="1" customHeight="1" outlineLevel="1" x14ac:dyDescent="0.3">
      <c r="A32" s="204"/>
      <c r="B32" s="229">
        <f t="shared" si="1"/>
        <v>1.1500000000000001</v>
      </c>
      <c r="C32" s="228" t="str">
        <f>'Policy &amp; Ordinances'!B25</f>
        <v>Urban Interface (WUI)</v>
      </c>
      <c r="D32" s="264"/>
      <c r="E32" s="264"/>
      <c r="F32" s="262"/>
      <c r="G32" s="262"/>
      <c r="H32" s="263"/>
      <c r="I32" s="208" t="s">
        <v>433</v>
      </c>
      <c r="J32" s="209" t="s">
        <v>433</v>
      </c>
      <c r="K32" s="209" t="s">
        <v>433</v>
      </c>
      <c r="L32" s="209" t="s">
        <v>433</v>
      </c>
      <c r="M32" s="209" t="s">
        <v>433</v>
      </c>
      <c r="N32" s="209" t="s">
        <v>433</v>
      </c>
      <c r="O32" s="209" t="s">
        <v>433</v>
      </c>
      <c r="P32" s="209" t="s">
        <v>433</v>
      </c>
      <c r="Q32" s="209" t="s">
        <v>433</v>
      </c>
      <c r="R32" s="210" t="s">
        <v>433</v>
      </c>
      <c r="S32" s="231"/>
    </row>
    <row r="33" spans="1:18" ht="18" customHeight="1" collapsed="1" x14ac:dyDescent="0.3">
      <c r="A33" s="204"/>
      <c r="B33" s="223" t="str">
        <f>'Capacity &amp; Training'!B8</f>
        <v>Professional Capacity and Training</v>
      </c>
      <c r="C33" s="205"/>
      <c r="D33" s="205"/>
      <c r="E33" s="205"/>
      <c r="F33" s="205"/>
      <c r="G33" s="228"/>
      <c r="H33" s="205"/>
      <c r="I33" s="224">
        <f>SUM(I34:I42)</f>
        <v>0</v>
      </c>
      <c r="J33" s="225">
        <f t="shared" ref="J33:R33" si="2">SUM(J34:J42)</f>
        <v>0</v>
      </c>
      <c r="K33" s="225">
        <f t="shared" si="2"/>
        <v>0</v>
      </c>
      <c r="L33" s="225">
        <f t="shared" si="2"/>
        <v>0</v>
      </c>
      <c r="M33" s="225">
        <f t="shared" si="2"/>
        <v>0</v>
      </c>
      <c r="N33" s="225">
        <f t="shared" si="2"/>
        <v>0</v>
      </c>
      <c r="O33" s="225">
        <f t="shared" si="2"/>
        <v>0</v>
      </c>
      <c r="P33" s="225">
        <f t="shared" si="2"/>
        <v>0</v>
      </c>
      <c r="Q33" s="225">
        <f t="shared" si="2"/>
        <v>0</v>
      </c>
      <c r="R33" s="226">
        <f t="shared" si="2"/>
        <v>0</v>
      </c>
    </row>
    <row r="34" spans="1:18" ht="18" hidden="1" customHeight="1" outlineLevel="1" x14ac:dyDescent="0.3">
      <c r="A34" s="204"/>
      <c r="B34" s="227">
        <v>2.0099999999999998</v>
      </c>
      <c r="C34" s="228" t="str">
        <f>'Capacity &amp; Training'!B12</f>
        <v>Certified Arborist - Staff</v>
      </c>
      <c r="D34" s="262"/>
      <c r="E34" s="262"/>
      <c r="F34" s="271"/>
      <c r="G34" s="271"/>
      <c r="H34" s="272"/>
      <c r="I34" s="208" t="s">
        <v>433</v>
      </c>
      <c r="J34" s="209" t="s">
        <v>433</v>
      </c>
      <c r="K34" s="209" t="s">
        <v>433</v>
      </c>
      <c r="L34" s="209" t="s">
        <v>433</v>
      </c>
      <c r="M34" s="209" t="s">
        <v>433</v>
      </c>
      <c r="N34" s="209" t="s">
        <v>433</v>
      </c>
      <c r="O34" s="209" t="s">
        <v>433</v>
      </c>
      <c r="P34" s="209" t="s">
        <v>433</v>
      </c>
      <c r="Q34" s="209" t="s">
        <v>433</v>
      </c>
      <c r="R34" s="210" t="s">
        <v>433</v>
      </c>
    </row>
    <row r="35" spans="1:18" ht="18" hidden="1" customHeight="1" outlineLevel="1" x14ac:dyDescent="0.3">
      <c r="A35" s="204"/>
      <c r="B35" s="229">
        <f>B34+0.01</f>
        <v>2.0199999999999996</v>
      </c>
      <c r="C35" s="228" t="str">
        <f>'Capacity &amp; Training'!B13</f>
        <v>Certified Arborist - Contracted</v>
      </c>
      <c r="D35" s="262"/>
      <c r="E35" s="262"/>
      <c r="F35" s="271"/>
      <c r="G35" s="271"/>
      <c r="H35" s="272"/>
      <c r="I35" s="208"/>
      <c r="J35" s="211">
        <v>0</v>
      </c>
      <c r="K35" s="209"/>
      <c r="L35" s="209"/>
      <c r="M35" s="209"/>
      <c r="N35" s="209"/>
      <c r="O35" s="209"/>
      <c r="P35" s="209"/>
      <c r="Q35" s="209"/>
      <c r="R35" s="210"/>
    </row>
    <row r="36" spans="1:18" ht="18" hidden="1" customHeight="1" outlineLevel="1" x14ac:dyDescent="0.3">
      <c r="A36" s="204"/>
      <c r="B36" s="229">
        <f t="shared" ref="B36:B42" si="3">B35+0.01</f>
        <v>2.0299999999999994</v>
      </c>
      <c r="C36" s="228" t="str">
        <f>'Capacity &amp; Training'!B14</f>
        <v>Certified Arborist - Other Resource</v>
      </c>
      <c r="D36" s="262"/>
      <c r="E36" s="262"/>
      <c r="F36" s="271"/>
      <c r="G36" s="271"/>
      <c r="H36" s="272"/>
      <c r="I36" s="208"/>
      <c r="J36" s="209"/>
      <c r="K36" s="209"/>
      <c r="L36" s="209"/>
      <c r="M36" s="209"/>
      <c r="N36" s="209"/>
      <c r="O36" s="209"/>
      <c r="P36" s="209"/>
      <c r="Q36" s="209"/>
      <c r="R36" s="210"/>
    </row>
    <row r="37" spans="1:18" ht="18" hidden="1" customHeight="1" outlineLevel="1" x14ac:dyDescent="0.3">
      <c r="A37" s="204"/>
      <c r="B37" s="229">
        <f t="shared" si="3"/>
        <v>2.0399999999999991</v>
      </c>
      <c r="C37" s="228" t="str">
        <f>'Capacity &amp; Training'!B15</f>
        <v>Other Professional - Advising/directing UF management</v>
      </c>
      <c r="D37" s="262"/>
      <c r="E37" s="262"/>
      <c r="F37" s="271"/>
      <c r="G37" s="271"/>
      <c r="H37" s="272"/>
      <c r="I37" s="208"/>
      <c r="J37" s="209"/>
      <c r="K37" s="209"/>
      <c r="L37" s="209"/>
      <c r="M37" s="209"/>
      <c r="N37" s="209"/>
      <c r="O37" s="209"/>
      <c r="P37" s="209"/>
      <c r="Q37" s="209"/>
      <c r="R37" s="210"/>
    </row>
    <row r="38" spans="1:18" ht="18" hidden="1" customHeight="1" outlineLevel="1" x14ac:dyDescent="0.3">
      <c r="A38" s="204"/>
      <c r="B38" s="229">
        <f t="shared" si="3"/>
        <v>2.0499999999999989</v>
      </c>
      <c r="C38" s="228" t="str">
        <f>'Capacity &amp; Training'!B16</f>
        <v>Municipal Forestry Institute</v>
      </c>
      <c r="D38" s="262"/>
      <c r="E38" s="262"/>
      <c r="F38" s="273"/>
      <c r="G38" s="273"/>
      <c r="H38" s="274"/>
      <c r="I38" s="208"/>
      <c r="J38" s="209"/>
      <c r="K38" s="209"/>
      <c r="L38" s="209"/>
      <c r="M38" s="209"/>
      <c r="N38" s="209"/>
      <c r="O38" s="209"/>
      <c r="P38" s="209"/>
      <c r="Q38" s="209"/>
      <c r="R38" s="210"/>
    </row>
    <row r="39" spans="1:18" ht="18" hidden="1" customHeight="1" outlineLevel="1" x14ac:dyDescent="0.3">
      <c r="A39" s="204"/>
      <c r="B39" s="229">
        <f t="shared" si="3"/>
        <v>2.0599999999999987</v>
      </c>
      <c r="C39" s="228" t="str">
        <f>'Capacity &amp; Training'!B17</f>
        <v>Urban Forestry Institute – Region 8</v>
      </c>
      <c r="D39" s="262"/>
      <c r="E39" s="262"/>
      <c r="F39" s="271"/>
      <c r="G39" s="271"/>
      <c r="H39" s="272"/>
      <c r="I39" s="208"/>
      <c r="J39" s="209"/>
      <c r="K39" s="209"/>
      <c r="L39" s="209"/>
      <c r="M39" s="209"/>
      <c r="N39" s="209"/>
      <c r="O39" s="209"/>
      <c r="P39" s="209"/>
      <c r="Q39" s="209"/>
      <c r="R39" s="210"/>
    </row>
    <row r="40" spans="1:18" ht="18" hidden="1" customHeight="1" outlineLevel="1" x14ac:dyDescent="0.3">
      <c r="A40" s="204"/>
      <c r="B40" s="229">
        <f t="shared" si="3"/>
        <v>2.0699999999999985</v>
      </c>
      <c r="C40" s="228" t="str">
        <f>'Capacity &amp; Training'!B18</f>
        <v>Campus/city arborist – ISA CA instructor for CEUs</v>
      </c>
      <c r="D40" s="262"/>
      <c r="E40" s="262"/>
      <c r="F40" s="271"/>
      <c r="G40" s="271"/>
      <c r="H40" s="272"/>
      <c r="I40" s="208"/>
      <c r="J40" s="209"/>
      <c r="K40" s="209"/>
      <c r="L40" s="209"/>
      <c r="M40" s="209"/>
      <c r="N40" s="209"/>
      <c r="O40" s="209"/>
      <c r="P40" s="209"/>
      <c r="Q40" s="209"/>
      <c r="R40" s="210"/>
    </row>
    <row r="41" spans="1:18" ht="18" hidden="1" customHeight="1" outlineLevel="1" x14ac:dyDescent="0.3">
      <c r="A41" s="204"/>
      <c r="B41" s="229">
        <f t="shared" si="3"/>
        <v>2.0799999999999983</v>
      </c>
      <c r="C41" s="228" t="str">
        <f>'Capacity &amp; Training'!B19</f>
        <v>Tree Board University</v>
      </c>
      <c r="D41" s="262"/>
      <c r="E41" s="262"/>
      <c r="F41" s="262"/>
      <c r="G41" s="262"/>
      <c r="H41" s="263"/>
      <c r="I41" s="208" t="s">
        <v>433</v>
      </c>
      <c r="J41" s="211">
        <v>0</v>
      </c>
      <c r="K41" s="209" t="s">
        <v>433</v>
      </c>
      <c r="L41" s="209" t="s">
        <v>433</v>
      </c>
      <c r="M41" s="209" t="s">
        <v>433</v>
      </c>
      <c r="N41" s="209" t="s">
        <v>433</v>
      </c>
      <c r="O41" s="209" t="s">
        <v>433</v>
      </c>
      <c r="P41" s="209" t="s">
        <v>433</v>
      </c>
      <c r="Q41" s="209" t="s">
        <v>433</v>
      </c>
      <c r="R41" s="210" t="s">
        <v>433</v>
      </c>
    </row>
    <row r="42" spans="1:18" ht="18" hidden="1" customHeight="1" outlineLevel="1" x14ac:dyDescent="0.3">
      <c r="A42" s="204"/>
      <c r="B42" s="229">
        <f t="shared" si="3"/>
        <v>2.0899999999999981</v>
      </c>
      <c r="C42" s="228" t="str">
        <f>'Capacity &amp; Training'!B20</f>
        <v>Organizational Communications</v>
      </c>
      <c r="D42" s="262"/>
      <c r="E42" s="262"/>
      <c r="F42" s="262"/>
      <c r="G42" s="262"/>
      <c r="H42" s="263"/>
      <c r="I42" s="208" t="s">
        <v>433</v>
      </c>
      <c r="J42" s="211">
        <v>0</v>
      </c>
      <c r="K42" s="209" t="s">
        <v>433</v>
      </c>
      <c r="L42" s="209" t="s">
        <v>433</v>
      </c>
      <c r="M42" s="209" t="s">
        <v>433</v>
      </c>
      <c r="N42" s="209" t="s">
        <v>433</v>
      </c>
      <c r="O42" s="209" t="s">
        <v>433</v>
      </c>
      <c r="P42" s="209" t="s">
        <v>433</v>
      </c>
      <c r="Q42" s="209" t="s">
        <v>433</v>
      </c>
      <c r="R42" s="210" t="s">
        <v>433</v>
      </c>
    </row>
    <row r="43" spans="1:18" ht="18" customHeight="1" collapsed="1" x14ac:dyDescent="0.3">
      <c r="A43" s="204"/>
      <c r="B43" s="223" t="str">
        <f>'Funding &amp; Accounting'!B8</f>
        <v>Funding and Accounting</v>
      </c>
      <c r="C43" s="228"/>
      <c r="D43" s="205"/>
      <c r="E43" s="205"/>
      <c r="F43" s="205"/>
      <c r="G43" s="228"/>
      <c r="H43" s="205"/>
      <c r="I43" s="224">
        <f t="shared" ref="I43:R43" si="4">SUM(I44:I49)</f>
        <v>0</v>
      </c>
      <c r="J43" s="225">
        <f t="shared" si="4"/>
        <v>0</v>
      </c>
      <c r="K43" s="225">
        <f t="shared" si="4"/>
        <v>0</v>
      </c>
      <c r="L43" s="225">
        <f t="shared" si="4"/>
        <v>0</v>
      </c>
      <c r="M43" s="225">
        <f t="shared" si="4"/>
        <v>0</v>
      </c>
      <c r="N43" s="225">
        <f t="shared" si="4"/>
        <v>0</v>
      </c>
      <c r="O43" s="225">
        <f t="shared" si="4"/>
        <v>0</v>
      </c>
      <c r="P43" s="225">
        <f t="shared" si="4"/>
        <v>0</v>
      </c>
      <c r="Q43" s="225">
        <f t="shared" si="4"/>
        <v>0</v>
      </c>
      <c r="R43" s="226">
        <f t="shared" si="4"/>
        <v>0</v>
      </c>
    </row>
    <row r="44" spans="1:18" ht="18" hidden="1" customHeight="1" outlineLevel="2" x14ac:dyDescent="0.3">
      <c r="A44" s="204"/>
      <c r="B44" s="227">
        <v>3.01</v>
      </c>
      <c r="C44" s="228" t="str">
        <f>'Funding &amp; Accounting'!B12</f>
        <v>Budgeted Annually</v>
      </c>
      <c r="D44" s="207"/>
      <c r="E44" s="207"/>
      <c r="F44" s="207"/>
      <c r="G44" s="206"/>
      <c r="H44" s="207"/>
      <c r="I44" s="208" t="s">
        <v>433</v>
      </c>
      <c r="J44" s="209" t="s">
        <v>433</v>
      </c>
      <c r="K44" s="209" t="s">
        <v>433</v>
      </c>
      <c r="L44" s="209" t="s">
        <v>433</v>
      </c>
      <c r="M44" s="209" t="s">
        <v>433</v>
      </c>
      <c r="N44" s="209" t="s">
        <v>433</v>
      </c>
      <c r="O44" s="209" t="s">
        <v>433</v>
      </c>
      <c r="P44" s="209" t="s">
        <v>433</v>
      </c>
      <c r="Q44" s="209" t="s">
        <v>433</v>
      </c>
      <c r="R44" s="210" t="s">
        <v>433</v>
      </c>
    </row>
    <row r="45" spans="1:18" ht="18" hidden="1" customHeight="1" outlineLevel="2" x14ac:dyDescent="0.3">
      <c r="A45" s="204"/>
      <c r="B45" s="227">
        <f>B44+0.01</f>
        <v>3.0199999999999996</v>
      </c>
      <c r="C45" s="228" t="str">
        <f>'Funding &amp; Accounting'!B13</f>
        <v>Contingency Budget Process</v>
      </c>
      <c r="D45" s="207"/>
      <c r="E45" s="207"/>
      <c r="F45" s="207"/>
      <c r="G45" s="206"/>
      <c r="H45" s="207"/>
      <c r="I45" s="208"/>
      <c r="J45" s="209"/>
      <c r="K45" s="209"/>
      <c r="L45" s="209"/>
      <c r="M45" s="209"/>
      <c r="N45" s="209"/>
      <c r="O45" s="209"/>
      <c r="P45" s="209"/>
      <c r="Q45" s="209"/>
      <c r="R45" s="210"/>
    </row>
    <row r="46" spans="1:18" ht="18" hidden="1" customHeight="1" outlineLevel="2" x14ac:dyDescent="0.3">
      <c r="A46" s="204"/>
      <c r="B46" s="227">
        <f t="shared" ref="B46:B49" si="5">B45+0.01</f>
        <v>3.0299999999999994</v>
      </c>
      <c r="C46" s="228" t="str">
        <f>'Funding &amp; Accounting'!B14</f>
        <v>Funding Calculated from Community Attribute</v>
      </c>
      <c r="D46" s="207"/>
      <c r="E46" s="207"/>
      <c r="F46" s="207"/>
      <c r="G46" s="206"/>
      <c r="H46" s="207"/>
      <c r="I46" s="208"/>
      <c r="J46" s="209"/>
      <c r="K46" s="209"/>
      <c r="L46" s="209"/>
      <c r="M46" s="209"/>
      <c r="N46" s="209"/>
      <c r="O46" s="209"/>
      <c r="P46" s="209"/>
      <c r="Q46" s="209"/>
      <c r="R46" s="210"/>
    </row>
    <row r="47" spans="1:18" ht="18" hidden="1" customHeight="1" outlineLevel="2" x14ac:dyDescent="0.3">
      <c r="A47" s="204"/>
      <c r="B47" s="227">
        <f t="shared" si="5"/>
        <v>3.0399999999999991</v>
      </c>
      <c r="C47" s="228" t="str">
        <f>'Funding &amp; Accounting'!B15</f>
        <v>Funding Based on Performance Monitoring</v>
      </c>
      <c r="D47" s="207"/>
      <c r="E47" s="207"/>
      <c r="F47" s="207"/>
      <c r="G47" s="206"/>
      <c r="H47" s="207"/>
      <c r="I47" s="208"/>
      <c r="J47" s="209"/>
      <c r="K47" s="209"/>
      <c r="L47" s="209"/>
      <c r="M47" s="209"/>
      <c r="N47" s="209"/>
      <c r="O47" s="209"/>
      <c r="P47" s="209"/>
      <c r="Q47" s="209"/>
      <c r="R47" s="210"/>
    </row>
    <row r="48" spans="1:18" ht="18" hidden="1" customHeight="1" outlineLevel="2" x14ac:dyDescent="0.3">
      <c r="A48" s="204"/>
      <c r="B48" s="227">
        <f t="shared" si="5"/>
        <v>3.0499999999999989</v>
      </c>
      <c r="C48" s="228" t="str">
        <f>'Funding &amp; Accounting'!B16</f>
        <v>Urban Forestry Line Item</v>
      </c>
      <c r="D48" s="207"/>
      <c r="E48" s="207"/>
      <c r="F48" s="207"/>
      <c r="G48" s="206"/>
      <c r="H48" s="207"/>
      <c r="I48" s="208"/>
      <c r="J48" s="209"/>
      <c r="K48" s="209"/>
      <c r="L48" s="209"/>
      <c r="M48" s="209"/>
      <c r="N48" s="209"/>
      <c r="O48" s="209"/>
      <c r="P48" s="209"/>
      <c r="Q48" s="209"/>
      <c r="R48" s="210"/>
    </row>
    <row r="49" spans="1:18" ht="18" hidden="1" customHeight="1" outlineLevel="2" x14ac:dyDescent="0.3">
      <c r="A49" s="204"/>
      <c r="B49" s="227">
        <f t="shared" si="5"/>
        <v>3.0599999999999987</v>
      </c>
      <c r="C49" s="228" t="str">
        <f>'Funding &amp; Accounting'!B17</f>
        <v>Green Asset Accounting</v>
      </c>
      <c r="D49" s="207"/>
      <c r="E49" s="207"/>
      <c r="F49" s="207"/>
      <c r="G49" s="206"/>
      <c r="H49" s="207"/>
      <c r="I49" s="208" t="s">
        <v>433</v>
      </c>
      <c r="J49" s="209" t="s">
        <v>433</v>
      </c>
      <c r="K49" s="209" t="s">
        <v>433</v>
      </c>
      <c r="L49" s="209" t="s">
        <v>433</v>
      </c>
      <c r="M49" s="209" t="s">
        <v>433</v>
      </c>
      <c r="N49" s="209" t="s">
        <v>433</v>
      </c>
      <c r="O49" s="209" t="s">
        <v>433</v>
      </c>
      <c r="P49" s="209" t="s">
        <v>433</v>
      </c>
      <c r="Q49" s="209" t="s">
        <v>433</v>
      </c>
      <c r="R49" s="210" t="s">
        <v>433</v>
      </c>
    </row>
    <row r="50" spans="1:18" ht="18" customHeight="1" collapsed="1" x14ac:dyDescent="0.3">
      <c r="A50" s="204"/>
      <c r="B50" s="223" t="str">
        <f>Authority!B8</f>
        <v>Decision and Management Authority</v>
      </c>
      <c r="C50" s="205"/>
      <c r="D50" s="205"/>
      <c r="E50" s="205"/>
      <c r="F50" s="205"/>
      <c r="G50" s="228"/>
      <c r="H50" s="205"/>
      <c r="I50" s="224">
        <f>SUM(I51:I54)</f>
        <v>0</v>
      </c>
      <c r="J50" s="225">
        <f>SUM(J51:J54)</f>
        <v>0</v>
      </c>
      <c r="K50" s="225">
        <f t="shared" ref="K50:R50" si="6">SUM(K51:K54)</f>
        <v>0</v>
      </c>
      <c r="L50" s="225">
        <f t="shared" si="6"/>
        <v>0</v>
      </c>
      <c r="M50" s="225">
        <f t="shared" si="6"/>
        <v>0</v>
      </c>
      <c r="N50" s="225">
        <f t="shared" si="6"/>
        <v>0</v>
      </c>
      <c r="O50" s="225">
        <f t="shared" si="6"/>
        <v>0</v>
      </c>
      <c r="P50" s="225">
        <f t="shared" si="6"/>
        <v>0</v>
      </c>
      <c r="Q50" s="225">
        <f t="shared" si="6"/>
        <v>0</v>
      </c>
      <c r="R50" s="226">
        <f t="shared" si="6"/>
        <v>0</v>
      </c>
    </row>
    <row r="51" spans="1:18" ht="18" hidden="1" customHeight="1" outlineLevel="1" x14ac:dyDescent="0.3">
      <c r="A51" s="204"/>
      <c r="B51" s="227">
        <v>4.01</v>
      </c>
      <c r="C51" s="228" t="str">
        <f>Authority!B12</f>
        <v>Urban Forest Manager</v>
      </c>
      <c r="D51" s="207"/>
      <c r="E51" s="207"/>
      <c r="F51" s="207"/>
      <c r="G51" s="206"/>
      <c r="H51" s="207"/>
      <c r="I51" s="208" t="s">
        <v>433</v>
      </c>
      <c r="J51" s="209" t="s">
        <v>433</v>
      </c>
      <c r="K51" s="209" t="s">
        <v>433</v>
      </c>
      <c r="L51" s="209" t="s">
        <v>433</v>
      </c>
      <c r="M51" s="209" t="s">
        <v>433</v>
      </c>
      <c r="N51" s="209" t="s">
        <v>433</v>
      </c>
      <c r="O51" s="209" t="s">
        <v>433</v>
      </c>
      <c r="P51" s="209" t="s">
        <v>433</v>
      </c>
      <c r="Q51" s="209" t="s">
        <v>433</v>
      </c>
      <c r="R51" s="210" t="s">
        <v>433</v>
      </c>
    </row>
    <row r="52" spans="1:18" ht="18" hidden="1" customHeight="1" outlineLevel="1" x14ac:dyDescent="0.3">
      <c r="A52" s="204"/>
      <c r="B52" s="227">
        <f>B51+0.01</f>
        <v>4.0199999999999996</v>
      </c>
      <c r="C52" s="228" t="str">
        <f>Authority!B13</f>
        <v>Staff Authority</v>
      </c>
      <c r="D52" s="207"/>
      <c r="E52" s="207"/>
      <c r="F52" s="207"/>
      <c r="G52" s="206"/>
      <c r="H52" s="207"/>
      <c r="I52" s="208"/>
      <c r="J52" s="209"/>
      <c r="K52" s="209"/>
      <c r="L52" s="209"/>
      <c r="M52" s="209"/>
      <c r="N52" s="209"/>
      <c r="O52" s="209"/>
      <c r="P52" s="209"/>
      <c r="Q52" s="209"/>
      <c r="R52" s="210"/>
    </row>
    <row r="53" spans="1:18" ht="18" hidden="1" customHeight="1" outlineLevel="1" x14ac:dyDescent="0.3">
      <c r="A53" s="204"/>
      <c r="B53" s="227">
        <f t="shared" ref="B53:B54" si="7">B52+0.01</f>
        <v>4.0299999999999994</v>
      </c>
      <c r="C53" s="228" t="str">
        <f>Authority!B14</f>
        <v>Communication Protocol</v>
      </c>
      <c r="D53" s="207"/>
      <c r="E53" s="207"/>
      <c r="F53" s="207"/>
      <c r="G53" s="206"/>
      <c r="H53" s="207"/>
      <c r="I53" s="208"/>
      <c r="J53" s="209"/>
      <c r="K53" s="209"/>
      <c r="L53" s="209"/>
      <c r="M53" s="209"/>
      <c r="N53" s="209"/>
      <c r="O53" s="209"/>
      <c r="P53" s="209"/>
      <c r="Q53" s="209"/>
      <c r="R53" s="210"/>
    </row>
    <row r="54" spans="1:18" ht="18" hidden="1" customHeight="1" outlineLevel="1" x14ac:dyDescent="0.3">
      <c r="A54" s="204"/>
      <c r="B54" s="227">
        <f t="shared" si="7"/>
        <v>4.0399999999999991</v>
      </c>
      <c r="C54" s="228" t="str">
        <f>Authority!B15</f>
        <v>Tree Board. Commission, or Advisory Council</v>
      </c>
      <c r="D54" s="207"/>
      <c r="E54" s="207"/>
      <c r="F54" s="207"/>
      <c r="G54" s="206"/>
      <c r="H54" s="207"/>
      <c r="I54" s="208" t="s">
        <v>433</v>
      </c>
      <c r="J54" s="209" t="s">
        <v>433</v>
      </c>
      <c r="K54" s="209" t="s">
        <v>433</v>
      </c>
      <c r="L54" s="209" t="s">
        <v>433</v>
      </c>
      <c r="M54" s="209" t="s">
        <v>433</v>
      </c>
      <c r="N54" s="209" t="s">
        <v>433</v>
      </c>
      <c r="O54" s="209" t="s">
        <v>433</v>
      </c>
      <c r="P54" s="209" t="s">
        <v>433</v>
      </c>
      <c r="Q54" s="209" t="s">
        <v>433</v>
      </c>
      <c r="R54" s="210" t="s">
        <v>433</v>
      </c>
    </row>
    <row r="55" spans="1:18" ht="18" customHeight="1" collapsed="1" x14ac:dyDescent="0.3">
      <c r="A55" s="204"/>
      <c r="B55" s="223" t="str">
        <f>Inventories!B8</f>
        <v>Inventories</v>
      </c>
      <c r="C55" s="205"/>
      <c r="D55" s="205"/>
      <c r="E55" s="205"/>
      <c r="F55" s="205"/>
      <c r="G55" s="228"/>
      <c r="H55" s="205"/>
      <c r="I55" s="224">
        <f>SUM(I56:I70)</f>
        <v>0</v>
      </c>
      <c r="J55" s="225">
        <f>SUM(J56:J70)</f>
        <v>0</v>
      </c>
      <c r="K55" s="225">
        <f t="shared" ref="K55:R55" si="8">SUM(K56:K70)</f>
        <v>0</v>
      </c>
      <c r="L55" s="225">
        <f t="shared" si="8"/>
        <v>0</v>
      </c>
      <c r="M55" s="225">
        <f t="shared" si="8"/>
        <v>0</v>
      </c>
      <c r="N55" s="225">
        <f t="shared" si="8"/>
        <v>0</v>
      </c>
      <c r="O55" s="225">
        <f t="shared" si="8"/>
        <v>0</v>
      </c>
      <c r="P55" s="225">
        <f t="shared" si="8"/>
        <v>0</v>
      </c>
      <c r="Q55" s="225">
        <f t="shared" si="8"/>
        <v>0</v>
      </c>
      <c r="R55" s="226">
        <f t="shared" si="8"/>
        <v>0</v>
      </c>
    </row>
    <row r="56" spans="1:18" ht="18" hidden="1" customHeight="1" outlineLevel="2" x14ac:dyDescent="0.3">
      <c r="A56" s="204"/>
      <c r="B56" s="227">
        <v>5.01</v>
      </c>
      <c r="C56" s="228" t="str">
        <f>Inventories!B12</f>
        <v>Canopy Inventory (UTC)</v>
      </c>
      <c r="D56" s="207"/>
      <c r="E56" s="207"/>
      <c r="F56" s="207"/>
      <c r="G56" s="206"/>
      <c r="H56" s="207"/>
      <c r="I56" s="208" t="s">
        <v>433</v>
      </c>
      <c r="J56" s="209" t="s">
        <v>433</v>
      </c>
      <c r="K56" s="209" t="s">
        <v>433</v>
      </c>
      <c r="L56" s="209" t="s">
        <v>433</v>
      </c>
      <c r="M56" s="209" t="s">
        <v>433</v>
      </c>
      <c r="N56" s="209">
        <v>0</v>
      </c>
      <c r="O56" s="209" t="s">
        <v>433</v>
      </c>
      <c r="P56" s="209" t="s">
        <v>433</v>
      </c>
      <c r="Q56" s="209" t="s">
        <v>433</v>
      </c>
      <c r="R56" s="210" t="s">
        <v>433</v>
      </c>
    </row>
    <row r="57" spans="1:18" ht="18" hidden="1" customHeight="1" outlineLevel="2" x14ac:dyDescent="0.3">
      <c r="A57" s="204"/>
      <c r="B57" s="227">
        <f>B56+0.01</f>
        <v>5.0199999999999996</v>
      </c>
      <c r="C57" s="228" t="str">
        <f>Inventories!B13</f>
        <v>Ecosystem Services</v>
      </c>
      <c r="D57" s="207"/>
      <c r="E57" s="207"/>
      <c r="F57" s="207"/>
      <c r="G57" s="206"/>
      <c r="H57" s="207"/>
      <c r="I57" s="208"/>
      <c r="J57" s="209"/>
      <c r="K57" s="209"/>
      <c r="L57" s="209"/>
      <c r="M57" s="209"/>
      <c r="N57" s="209"/>
      <c r="O57" s="209"/>
      <c r="P57" s="209"/>
      <c r="Q57" s="209"/>
      <c r="R57" s="210"/>
    </row>
    <row r="58" spans="1:18" ht="18" hidden="1" customHeight="1" outlineLevel="2" x14ac:dyDescent="0.3">
      <c r="A58" s="204"/>
      <c r="B58" s="227">
        <f t="shared" ref="B58:B70" si="9">B57+0.01</f>
        <v>5.0299999999999994</v>
      </c>
      <c r="C58" s="228" t="str">
        <f>Inventories!B14</f>
        <v>Public Trees V</v>
      </c>
      <c r="D58" s="207"/>
      <c r="E58" s="207"/>
      <c r="F58" s="207"/>
      <c r="G58" s="206"/>
      <c r="H58" s="207"/>
      <c r="I58" s="208"/>
      <c r="J58" s="209"/>
      <c r="K58" s="209"/>
      <c r="L58" s="209"/>
      <c r="M58" s="209"/>
      <c r="N58" s="209"/>
      <c r="O58" s="209"/>
      <c r="P58" s="209"/>
      <c r="Q58" s="209"/>
      <c r="R58" s="210"/>
    </row>
    <row r="59" spans="1:18" ht="18" hidden="1" customHeight="1" outlineLevel="2" x14ac:dyDescent="0.3">
      <c r="A59" s="204"/>
      <c r="B59" s="227">
        <f t="shared" si="9"/>
        <v>5.0399999999999991</v>
      </c>
      <c r="C59" s="228" t="str">
        <f>Inventories!B15</f>
        <v>Street Trees</v>
      </c>
      <c r="D59" s="207"/>
      <c r="E59" s="207"/>
      <c r="F59" s="207"/>
      <c r="G59" s="206"/>
      <c r="H59" s="207"/>
      <c r="I59" s="208"/>
      <c r="J59" s="209"/>
      <c r="K59" s="209"/>
      <c r="L59" s="209"/>
      <c r="M59" s="209"/>
      <c r="N59" s="209"/>
      <c r="O59" s="209"/>
      <c r="P59" s="209"/>
      <c r="Q59" s="209"/>
      <c r="R59" s="210"/>
    </row>
    <row r="60" spans="1:18" ht="18" hidden="1" customHeight="1" outlineLevel="2" x14ac:dyDescent="0.3">
      <c r="A60" s="204"/>
      <c r="B60" s="227">
        <f t="shared" si="9"/>
        <v>5.0499999999999989</v>
      </c>
      <c r="C60" s="228" t="str">
        <f>Inventories!B16</f>
        <v>Parks/Riparian Areas</v>
      </c>
      <c r="D60" s="207"/>
      <c r="E60" s="207"/>
      <c r="F60" s="207"/>
      <c r="G60" s="206"/>
      <c r="H60" s="207"/>
      <c r="I60" s="208"/>
      <c r="J60" s="209"/>
      <c r="K60" s="209"/>
      <c r="L60" s="209"/>
      <c r="M60" s="209"/>
      <c r="N60" s="209"/>
      <c r="O60" s="209"/>
      <c r="P60" s="209"/>
      <c r="Q60" s="209"/>
      <c r="R60" s="210"/>
    </row>
    <row r="61" spans="1:18" ht="18" hidden="1" customHeight="1" outlineLevel="2" x14ac:dyDescent="0.3">
      <c r="A61" s="204"/>
      <c r="B61" s="227">
        <f t="shared" si="9"/>
        <v>5.0599999999999987</v>
      </c>
      <c r="C61" s="228" t="str">
        <f>Inventories!B17</f>
        <v>Other Public Trees</v>
      </c>
      <c r="D61" s="207"/>
      <c r="E61" s="207"/>
      <c r="F61" s="207"/>
      <c r="G61" s="206"/>
      <c r="H61" s="207"/>
      <c r="I61" s="208"/>
      <c r="J61" s="209"/>
      <c r="K61" s="209"/>
      <c r="L61" s="209"/>
      <c r="M61" s="209"/>
      <c r="N61" s="209"/>
      <c r="O61" s="209"/>
      <c r="P61" s="209"/>
      <c r="Q61" s="209"/>
      <c r="R61" s="210"/>
    </row>
    <row r="62" spans="1:18" ht="18" hidden="1" customHeight="1" outlineLevel="2" x14ac:dyDescent="0.3">
      <c r="A62" s="204"/>
      <c r="B62" s="227">
        <f t="shared" si="9"/>
        <v>5.0699999999999985</v>
      </c>
      <c r="C62" s="228" t="str">
        <f>Inventories!B18</f>
        <v>Continuous inventory on a cycle (≤5 years; i.e. panel)</v>
      </c>
      <c r="D62" s="207"/>
      <c r="E62" s="207"/>
      <c r="F62" s="207"/>
      <c r="G62" s="206"/>
      <c r="H62" s="207"/>
      <c r="I62" s="208"/>
      <c r="J62" s="209"/>
      <c r="K62" s="209"/>
      <c r="L62" s="209"/>
      <c r="M62" s="209"/>
      <c r="N62" s="209"/>
      <c r="O62" s="209"/>
      <c r="P62" s="209"/>
      <c r="Q62" s="209"/>
      <c r="R62" s="210"/>
    </row>
    <row r="63" spans="1:18" ht="18" hidden="1" customHeight="1" outlineLevel="2" x14ac:dyDescent="0.3">
      <c r="A63" s="204"/>
      <c r="B63" s="227">
        <f t="shared" si="9"/>
        <v>5.0799999999999983</v>
      </c>
      <c r="C63" s="228" t="str">
        <f>Inventories!B19</f>
        <v>Private Trees</v>
      </c>
      <c r="D63" s="207"/>
      <c r="E63" s="207"/>
      <c r="F63" s="207"/>
      <c r="G63" s="206"/>
      <c r="H63" s="207"/>
      <c r="I63" s="208"/>
      <c r="J63" s="209"/>
      <c r="K63" s="209"/>
      <c r="L63" s="209"/>
      <c r="M63" s="209"/>
      <c r="N63" s="209"/>
      <c r="O63" s="209"/>
      <c r="P63" s="209"/>
      <c r="Q63" s="209"/>
      <c r="R63" s="210"/>
    </row>
    <row r="64" spans="1:18" ht="18" hidden="1" customHeight="1" outlineLevel="2" x14ac:dyDescent="0.3">
      <c r="A64" s="204"/>
      <c r="B64" s="227">
        <f t="shared" si="9"/>
        <v>5.0899999999999981</v>
      </c>
      <c r="C64" s="228" t="str">
        <f>Inventories!B20</f>
        <v>Campus (Educational)</v>
      </c>
      <c r="D64" s="207"/>
      <c r="E64" s="207"/>
      <c r="F64" s="207"/>
      <c r="G64" s="206"/>
      <c r="H64" s="207"/>
      <c r="I64" s="208"/>
      <c r="J64" s="209"/>
      <c r="K64" s="209"/>
      <c r="L64" s="209"/>
      <c r="M64" s="209"/>
      <c r="N64" s="209"/>
      <c r="O64" s="209"/>
      <c r="P64" s="209"/>
      <c r="Q64" s="209"/>
      <c r="R64" s="210"/>
    </row>
    <row r="65" spans="1:18" ht="18" hidden="1" customHeight="1" outlineLevel="2" x14ac:dyDescent="0.3">
      <c r="A65" s="204"/>
      <c r="B65" s="227">
        <f t="shared" si="9"/>
        <v>5.0999999999999979</v>
      </c>
      <c r="C65" s="228" t="str">
        <f>Inventories!B21</f>
        <v>Corporate</v>
      </c>
      <c r="D65" s="207"/>
      <c r="E65" s="207"/>
      <c r="F65" s="207"/>
      <c r="G65" s="206"/>
      <c r="H65" s="207"/>
      <c r="I65" s="208"/>
      <c r="J65" s="209"/>
      <c r="K65" s="209"/>
      <c r="L65" s="209"/>
      <c r="M65" s="209"/>
      <c r="N65" s="209"/>
      <c r="O65" s="209"/>
      <c r="P65" s="209"/>
      <c r="Q65" s="209"/>
      <c r="R65" s="210"/>
    </row>
    <row r="66" spans="1:18" ht="18" hidden="1" customHeight="1" outlineLevel="2" x14ac:dyDescent="0.3">
      <c r="A66" s="204"/>
      <c r="B66" s="227">
        <f t="shared" si="9"/>
        <v>5.1099999999999977</v>
      </c>
      <c r="C66" s="228" t="str">
        <f>Inventories!B22</f>
        <v>Other Private Property</v>
      </c>
      <c r="D66" s="207"/>
      <c r="E66" s="207"/>
      <c r="F66" s="207"/>
      <c r="G66" s="206"/>
      <c r="H66" s="207"/>
      <c r="I66" s="208"/>
      <c r="J66" s="209"/>
      <c r="K66" s="209"/>
      <c r="L66" s="209"/>
      <c r="M66" s="209"/>
      <c r="N66" s="209"/>
      <c r="O66" s="209"/>
      <c r="P66" s="209"/>
      <c r="Q66" s="209"/>
      <c r="R66" s="210"/>
    </row>
    <row r="67" spans="1:18" ht="18" hidden="1" customHeight="1" outlineLevel="2" x14ac:dyDescent="0.3">
      <c r="A67" s="204"/>
      <c r="B67" s="227">
        <f t="shared" si="9"/>
        <v>5.1199999999999974</v>
      </c>
      <c r="C67" s="228" t="str">
        <f>Inventories!B23</f>
        <v>Continuous inventory on a cycle (≤5 years; i.e. panel)</v>
      </c>
      <c r="D67" s="207"/>
      <c r="E67" s="207"/>
      <c r="F67" s="207"/>
      <c r="G67" s="206"/>
      <c r="H67" s="207"/>
      <c r="I67" s="208"/>
      <c r="J67" s="209"/>
      <c r="K67" s="209"/>
      <c r="L67" s="209"/>
      <c r="M67" s="209"/>
      <c r="N67" s="209">
        <v>0</v>
      </c>
      <c r="O67" s="209"/>
      <c r="P67" s="209"/>
      <c r="Q67" s="209"/>
      <c r="R67" s="210"/>
    </row>
    <row r="68" spans="1:18" ht="18" hidden="1" customHeight="1" outlineLevel="2" x14ac:dyDescent="0.3">
      <c r="A68" s="204"/>
      <c r="B68" s="227">
        <f t="shared" si="9"/>
        <v>5.1299999999999972</v>
      </c>
      <c r="C68" s="228" t="str">
        <f>Inventories!B24</f>
        <v>Green Stromwater Infrastructure (GSI)</v>
      </c>
      <c r="D68" s="207"/>
      <c r="E68" s="207"/>
      <c r="F68" s="207"/>
      <c r="G68" s="206"/>
      <c r="H68" s="207"/>
      <c r="I68" s="208"/>
      <c r="J68" s="209"/>
      <c r="K68" s="209"/>
      <c r="L68" s="209"/>
      <c r="M68" s="209"/>
      <c r="N68" s="209">
        <v>0</v>
      </c>
      <c r="O68" s="209"/>
      <c r="P68" s="209"/>
      <c r="Q68" s="209"/>
      <c r="R68" s="210"/>
    </row>
    <row r="69" spans="1:18" ht="18" hidden="1" customHeight="1" outlineLevel="2" x14ac:dyDescent="0.3">
      <c r="A69" s="204"/>
      <c r="B69" s="227">
        <f t="shared" si="9"/>
        <v>5.139999999999997</v>
      </c>
      <c r="C69" s="228" t="str">
        <f>Inventories!B25</f>
        <v>Spatial</v>
      </c>
      <c r="D69" s="207"/>
      <c r="E69" s="207"/>
      <c r="F69" s="207"/>
      <c r="G69" s="206"/>
      <c r="H69" s="207"/>
      <c r="I69" s="208" t="s">
        <v>433</v>
      </c>
      <c r="J69" s="209" t="s">
        <v>433</v>
      </c>
      <c r="K69" s="209" t="s">
        <v>433</v>
      </c>
      <c r="L69" s="209" t="s">
        <v>433</v>
      </c>
      <c r="M69" s="209" t="s">
        <v>433</v>
      </c>
      <c r="N69" s="209">
        <v>0</v>
      </c>
      <c r="O69" s="209" t="s">
        <v>433</v>
      </c>
      <c r="P69" s="209" t="s">
        <v>433</v>
      </c>
      <c r="Q69" s="209" t="s">
        <v>433</v>
      </c>
      <c r="R69" s="210" t="s">
        <v>433</v>
      </c>
    </row>
    <row r="70" spans="1:18" ht="18" hidden="1" customHeight="1" outlineLevel="2" x14ac:dyDescent="0.3">
      <c r="A70" s="204"/>
      <c r="B70" s="227">
        <f t="shared" si="9"/>
        <v>5.1499999999999968</v>
      </c>
      <c r="C70" s="228" t="str">
        <f>Inventories!B26</f>
        <v>Maintenance and Planting Records Maintained</v>
      </c>
      <c r="D70" s="207"/>
      <c r="E70" s="207"/>
      <c r="F70" s="207"/>
      <c r="G70" s="206"/>
      <c r="H70" s="207"/>
      <c r="I70" s="208" t="s">
        <v>433</v>
      </c>
      <c r="J70" s="209" t="s">
        <v>433</v>
      </c>
      <c r="K70" s="209" t="s">
        <v>433</v>
      </c>
      <c r="L70" s="209" t="s">
        <v>433</v>
      </c>
      <c r="M70" s="209" t="s">
        <v>433</v>
      </c>
      <c r="N70" s="209">
        <v>0</v>
      </c>
      <c r="O70" s="209" t="s">
        <v>433</v>
      </c>
      <c r="P70" s="209" t="s">
        <v>433</v>
      </c>
      <c r="Q70" s="209" t="s">
        <v>433</v>
      </c>
      <c r="R70" s="210" t="s">
        <v>433</v>
      </c>
    </row>
    <row r="71" spans="1:18" ht="18" customHeight="1" collapsed="1" x14ac:dyDescent="0.3">
      <c r="A71" s="204"/>
      <c r="B71" s="223" t="str">
        <f>'Urban Forest Management Plans'!B8</f>
        <v>Urban Forest Management Plans</v>
      </c>
      <c r="C71" s="205"/>
      <c r="D71" s="205"/>
      <c r="E71" s="205"/>
      <c r="F71" s="205"/>
      <c r="G71" s="228"/>
      <c r="H71" s="205"/>
      <c r="I71" s="224">
        <f>SUM(I72:I85)</f>
        <v>0</v>
      </c>
      <c r="J71" s="225">
        <f>SUM(J72:J85)</f>
        <v>0</v>
      </c>
      <c r="K71" s="225">
        <f t="shared" ref="K71:R71" si="10">SUM(K72:K85)</f>
        <v>0</v>
      </c>
      <c r="L71" s="225">
        <f t="shared" si="10"/>
        <v>0</v>
      </c>
      <c r="M71" s="225">
        <f t="shared" si="10"/>
        <v>0</v>
      </c>
      <c r="N71" s="225">
        <f t="shared" si="10"/>
        <v>0</v>
      </c>
      <c r="O71" s="225">
        <f t="shared" si="10"/>
        <v>0</v>
      </c>
      <c r="P71" s="225">
        <f t="shared" si="10"/>
        <v>0</v>
      </c>
      <c r="Q71" s="225">
        <f t="shared" si="10"/>
        <v>0</v>
      </c>
      <c r="R71" s="226">
        <f t="shared" si="10"/>
        <v>0</v>
      </c>
    </row>
    <row r="72" spans="1:18" ht="18" hidden="1" customHeight="1" outlineLevel="1" x14ac:dyDescent="0.3">
      <c r="A72" s="204"/>
      <c r="B72" s="227">
        <v>6.01</v>
      </c>
      <c r="C72" s="251" t="str">
        <f>'Urban Forest Management Plans'!B12</f>
        <v>Annual Maintenance Calendar</v>
      </c>
      <c r="D72" s="207"/>
      <c r="E72" s="207"/>
      <c r="F72" s="207"/>
      <c r="G72" s="206"/>
      <c r="H72" s="207"/>
      <c r="I72" s="208" t="s">
        <v>433</v>
      </c>
      <c r="J72" s="209" t="s">
        <v>433</v>
      </c>
      <c r="K72" s="209" t="s">
        <v>433</v>
      </c>
      <c r="L72" s="209" t="s">
        <v>433</v>
      </c>
      <c r="M72" s="209" t="s">
        <v>433</v>
      </c>
      <c r="N72" s="209" t="s">
        <v>433</v>
      </c>
      <c r="O72" s="209" t="s">
        <v>433</v>
      </c>
      <c r="P72" s="209" t="s">
        <v>433</v>
      </c>
      <c r="Q72" s="209" t="s">
        <v>433</v>
      </c>
      <c r="R72" s="210" t="s">
        <v>433</v>
      </c>
    </row>
    <row r="73" spans="1:18" ht="18" hidden="1" customHeight="1" outlineLevel="1" x14ac:dyDescent="0.3">
      <c r="A73" s="204"/>
      <c r="B73" s="227">
        <f>B72+0.01</f>
        <v>6.02</v>
      </c>
      <c r="C73" s="251" t="str">
        <f>'Urban Forest Management Plans'!B13</f>
        <v>Public Trees V</v>
      </c>
      <c r="D73" s="207"/>
      <c r="E73" s="207"/>
      <c r="F73" s="207"/>
      <c r="G73" s="206"/>
      <c r="H73" s="207"/>
      <c r="I73" s="208"/>
      <c r="J73" s="209"/>
      <c r="K73" s="209"/>
      <c r="L73" s="209"/>
      <c r="M73" s="209"/>
      <c r="N73" s="209"/>
      <c r="O73" s="209"/>
      <c r="P73" s="209"/>
      <c r="Q73" s="209"/>
      <c r="R73" s="210"/>
    </row>
    <row r="74" spans="1:18" ht="18" hidden="1" customHeight="1" outlineLevel="1" x14ac:dyDescent="0.3">
      <c r="A74" s="204"/>
      <c r="B74" s="227">
        <f t="shared" ref="B74:B85" si="11">B73+0.01</f>
        <v>6.0299999999999994</v>
      </c>
      <c r="C74" s="251" t="str">
        <f>'Urban Forest Management Plans'!B14</f>
        <v>Street Tree Management</v>
      </c>
      <c r="D74" s="207"/>
      <c r="E74" s="207"/>
      <c r="F74" s="207"/>
      <c r="G74" s="206"/>
      <c r="H74" s="207"/>
      <c r="I74" s="208"/>
      <c r="J74" s="209"/>
      <c r="K74" s="209"/>
      <c r="L74" s="209"/>
      <c r="M74" s="209"/>
      <c r="N74" s="209"/>
      <c r="O74" s="209"/>
      <c r="P74" s="209"/>
      <c r="Q74" s="209"/>
      <c r="R74" s="210"/>
    </row>
    <row r="75" spans="1:18" ht="18" hidden="1" customHeight="1" outlineLevel="1" x14ac:dyDescent="0.3">
      <c r="A75" s="204"/>
      <c r="B75" s="227">
        <f t="shared" si="11"/>
        <v>6.0399999999999991</v>
      </c>
      <c r="C75" s="251" t="str">
        <f>'Urban Forest Management Plans'!B15</f>
        <v>Parks/Riparian Area Management</v>
      </c>
      <c r="D75" s="207"/>
      <c r="E75" s="207"/>
      <c r="F75" s="207"/>
      <c r="G75" s="206"/>
      <c r="H75" s="207"/>
      <c r="I75" s="208"/>
      <c r="J75" s="209"/>
      <c r="K75" s="209"/>
      <c r="L75" s="209"/>
      <c r="M75" s="209"/>
      <c r="N75" s="209"/>
      <c r="O75" s="209"/>
      <c r="P75" s="209"/>
      <c r="Q75" s="209"/>
      <c r="R75" s="210"/>
    </row>
    <row r="76" spans="1:18" ht="18" hidden="1" customHeight="1" outlineLevel="1" x14ac:dyDescent="0.3">
      <c r="A76" s="204"/>
      <c r="B76" s="227">
        <f t="shared" si="11"/>
        <v>6.0499999999999989</v>
      </c>
      <c r="C76" s="251" t="str">
        <f>'Urban Forest Management Plans'!B16</f>
        <v>Other Public Trees</v>
      </c>
      <c r="D76" s="207"/>
      <c r="E76" s="207"/>
      <c r="F76" s="207"/>
      <c r="G76" s="206"/>
      <c r="H76" s="207"/>
      <c r="I76" s="208"/>
      <c r="J76" s="209"/>
      <c r="K76" s="209"/>
      <c r="L76" s="209"/>
      <c r="M76" s="209"/>
      <c r="N76" s="209"/>
      <c r="O76" s="209"/>
      <c r="P76" s="209"/>
      <c r="Q76" s="209"/>
      <c r="R76" s="210"/>
    </row>
    <row r="77" spans="1:18" ht="18" hidden="1" customHeight="1" outlineLevel="1" x14ac:dyDescent="0.3">
      <c r="A77" s="204"/>
      <c r="B77" s="227">
        <f t="shared" si="11"/>
        <v>6.0599999999999987</v>
      </c>
      <c r="C77" s="251" t="str">
        <f>'Urban Forest Management Plans'!B17</f>
        <v>Private Trees</v>
      </c>
      <c r="D77" s="207"/>
      <c r="E77" s="207"/>
      <c r="F77" s="207"/>
      <c r="G77" s="206"/>
      <c r="H77" s="207"/>
      <c r="I77" s="208"/>
      <c r="J77" s="209"/>
      <c r="K77" s="209"/>
      <c r="L77" s="209"/>
      <c r="M77" s="209"/>
      <c r="N77" s="209"/>
      <c r="O77" s="209"/>
      <c r="P77" s="209"/>
      <c r="Q77" s="209"/>
      <c r="R77" s="210"/>
    </row>
    <row r="78" spans="1:18" ht="18" hidden="1" customHeight="1" outlineLevel="1" x14ac:dyDescent="0.3">
      <c r="A78" s="204"/>
      <c r="B78" s="227">
        <f t="shared" si="11"/>
        <v>6.0699999999999985</v>
      </c>
      <c r="C78" s="251" t="str">
        <f>'Urban Forest Management Plans'!B18</f>
        <v>Campus (Educational)</v>
      </c>
      <c r="D78" s="207"/>
      <c r="E78" s="207"/>
      <c r="F78" s="207"/>
      <c r="G78" s="206"/>
      <c r="H78" s="207"/>
      <c r="I78" s="208" t="s">
        <v>433</v>
      </c>
      <c r="J78" s="209" t="s">
        <v>433</v>
      </c>
      <c r="K78" s="209" t="s">
        <v>433</v>
      </c>
      <c r="L78" s="209" t="s">
        <v>433</v>
      </c>
      <c r="M78" s="209" t="s">
        <v>433</v>
      </c>
      <c r="N78" s="209" t="s">
        <v>433</v>
      </c>
      <c r="O78" s="209" t="s">
        <v>433</v>
      </c>
      <c r="P78" s="209" t="s">
        <v>433</v>
      </c>
      <c r="Q78" s="209" t="s">
        <v>433</v>
      </c>
      <c r="R78" s="210" t="s">
        <v>433</v>
      </c>
    </row>
    <row r="79" spans="1:18" ht="18" hidden="1" customHeight="1" outlineLevel="1" x14ac:dyDescent="0.3">
      <c r="A79" s="204"/>
      <c r="B79" s="227">
        <f t="shared" si="11"/>
        <v>6.0799999999999983</v>
      </c>
      <c r="C79" s="251" t="str">
        <f>'Urban Forest Management Plans'!B19</f>
        <v>Corporate</v>
      </c>
      <c r="D79" s="207"/>
      <c r="E79" s="207"/>
      <c r="F79" s="207"/>
      <c r="G79" s="206"/>
      <c r="H79" s="207"/>
      <c r="I79" s="208"/>
      <c r="J79" s="209"/>
      <c r="K79" s="209"/>
      <c r="L79" s="209"/>
      <c r="M79" s="209"/>
      <c r="N79" s="209"/>
      <c r="O79" s="209"/>
      <c r="P79" s="209"/>
      <c r="Q79" s="209"/>
      <c r="R79" s="210"/>
    </row>
    <row r="80" spans="1:18" ht="18" hidden="1" customHeight="1" outlineLevel="1" x14ac:dyDescent="0.3">
      <c r="A80" s="204"/>
      <c r="B80" s="227">
        <f t="shared" si="11"/>
        <v>6.0899999999999981</v>
      </c>
      <c r="C80" s="251" t="str">
        <f>'Urban Forest Management Plans'!B20</f>
        <v>Other Private Property</v>
      </c>
      <c r="D80" s="207"/>
      <c r="E80" s="207"/>
      <c r="F80" s="207"/>
      <c r="G80" s="206"/>
      <c r="H80" s="207"/>
      <c r="I80" s="208"/>
      <c r="J80" s="209"/>
      <c r="K80" s="209"/>
      <c r="L80" s="209"/>
      <c r="M80" s="209"/>
      <c r="N80" s="209"/>
      <c r="O80" s="209"/>
      <c r="P80" s="209"/>
      <c r="Q80" s="209"/>
      <c r="R80" s="210"/>
    </row>
    <row r="81" spans="1:18" ht="18" hidden="1" customHeight="1" outlineLevel="1" x14ac:dyDescent="0.3">
      <c r="A81" s="204"/>
      <c r="B81" s="227">
        <f t="shared" si="11"/>
        <v>6.0999999999999979</v>
      </c>
      <c r="C81" s="251" t="str">
        <f>'Urban Forest Management Plans'!B21</f>
        <v>Green Infrastructure</v>
      </c>
      <c r="D81" s="207"/>
      <c r="E81" s="207"/>
      <c r="F81" s="207"/>
      <c r="G81" s="206"/>
      <c r="H81" s="207"/>
      <c r="I81" s="208"/>
      <c r="J81" s="209"/>
      <c r="K81" s="209"/>
      <c r="L81" s="209"/>
      <c r="M81" s="209"/>
      <c r="N81" s="209"/>
      <c r="O81" s="209"/>
      <c r="P81" s="209"/>
      <c r="Q81" s="209"/>
      <c r="R81" s="210"/>
    </row>
    <row r="82" spans="1:18" ht="18" hidden="1" customHeight="1" outlineLevel="1" x14ac:dyDescent="0.3">
      <c r="A82" s="204"/>
      <c r="B82" s="227">
        <f t="shared" si="11"/>
        <v>6.1099999999999977</v>
      </c>
      <c r="C82" s="251" t="str">
        <f>'Urban Forest Management Plans'!B22</f>
        <v>Other Written Plans</v>
      </c>
      <c r="D82" s="207"/>
      <c r="E82" s="207"/>
      <c r="F82" s="207"/>
      <c r="G82" s="206"/>
      <c r="H82" s="207"/>
      <c r="I82" s="208"/>
      <c r="J82" s="209"/>
      <c r="K82" s="209"/>
      <c r="L82" s="209"/>
      <c r="M82" s="209"/>
      <c r="N82" s="209"/>
      <c r="O82" s="209"/>
      <c r="P82" s="209"/>
      <c r="Q82" s="209"/>
      <c r="R82" s="210"/>
    </row>
    <row r="83" spans="1:18" ht="18" hidden="1" customHeight="1" outlineLevel="1" x14ac:dyDescent="0.3">
      <c r="A83" s="204"/>
      <c r="B83" s="227">
        <f t="shared" si="11"/>
        <v>6.1199999999999974</v>
      </c>
      <c r="C83" s="251" t="str">
        <f>'Urban Forest Management Plans'!B23</f>
        <v>Tree Planting</v>
      </c>
      <c r="D83" s="207"/>
      <c r="E83" s="207"/>
      <c r="F83" s="207"/>
      <c r="G83" s="206"/>
      <c r="H83" s="207"/>
      <c r="I83" s="208"/>
      <c r="J83" s="209"/>
      <c r="K83" s="209"/>
      <c r="L83" s="209"/>
      <c r="M83" s="209"/>
      <c r="N83" s="209"/>
      <c r="O83" s="209"/>
      <c r="P83" s="209"/>
      <c r="Q83" s="209"/>
      <c r="R83" s="210"/>
    </row>
    <row r="84" spans="1:18" ht="18" hidden="1" customHeight="1" outlineLevel="1" x14ac:dyDescent="0.3">
      <c r="A84" s="204"/>
      <c r="B84" s="227">
        <f t="shared" si="11"/>
        <v>6.1299999999999972</v>
      </c>
      <c r="C84" s="251" t="str">
        <f>'Urban Forest Management Plans'!B24</f>
        <v>UF as Part of a Comprehensive Plan</v>
      </c>
      <c r="D84" s="207"/>
      <c r="E84" s="207"/>
      <c r="F84" s="207"/>
      <c r="G84" s="206"/>
      <c r="H84" s="207"/>
      <c r="I84" s="208"/>
      <c r="J84" s="209"/>
      <c r="K84" s="209"/>
      <c r="L84" s="209"/>
      <c r="M84" s="209"/>
      <c r="N84" s="209"/>
      <c r="O84" s="209"/>
      <c r="P84" s="209"/>
      <c r="Q84" s="209"/>
      <c r="R84" s="210"/>
    </row>
    <row r="85" spans="1:18" ht="36" hidden="1" customHeight="1" outlineLevel="1" x14ac:dyDescent="0.3">
      <c r="A85" s="204"/>
      <c r="B85" s="227">
        <f t="shared" si="11"/>
        <v>6.139999999999997</v>
      </c>
      <c r="C85" s="251" t="str">
        <f>'Urban Forest Management Plans'!B25</f>
        <v>Urban Forest Planning and Management Criteria and Performance Indicators</v>
      </c>
      <c r="D85" s="207"/>
      <c r="E85" s="207"/>
      <c r="F85" s="207"/>
      <c r="G85" s="206"/>
      <c r="H85" s="207"/>
      <c r="I85" s="208" t="s">
        <v>433</v>
      </c>
      <c r="J85" s="209" t="s">
        <v>433</v>
      </c>
      <c r="K85" s="209" t="s">
        <v>433</v>
      </c>
      <c r="L85" s="209" t="s">
        <v>433</v>
      </c>
      <c r="M85" s="209" t="s">
        <v>433</v>
      </c>
      <c r="N85" s="209" t="s">
        <v>433</v>
      </c>
      <c r="O85" s="209" t="s">
        <v>433</v>
      </c>
      <c r="P85" s="209" t="s">
        <v>433</v>
      </c>
      <c r="Q85" s="209" t="s">
        <v>433</v>
      </c>
      <c r="R85" s="210" t="s">
        <v>433</v>
      </c>
    </row>
    <row r="86" spans="1:18" ht="18" customHeight="1" collapsed="1" x14ac:dyDescent="0.3">
      <c r="A86" s="204"/>
      <c r="B86" s="223" t="str">
        <f>'Risk Management'!B8</f>
        <v>Risk Management</v>
      </c>
      <c r="C86" s="205"/>
      <c r="D86" s="205"/>
      <c r="E86" s="205"/>
      <c r="F86" s="205"/>
      <c r="G86" s="228"/>
      <c r="H86" s="205"/>
      <c r="I86" s="224">
        <f t="shared" ref="I86:N86" si="12">SUM(I87:I95 )</f>
        <v>0</v>
      </c>
      <c r="J86" s="225">
        <f t="shared" si="12"/>
        <v>0</v>
      </c>
      <c r="K86" s="225">
        <f t="shared" si="12"/>
        <v>0</v>
      </c>
      <c r="L86" s="225">
        <f t="shared" si="12"/>
        <v>0</v>
      </c>
      <c r="M86" s="225">
        <f t="shared" si="12"/>
        <v>0</v>
      </c>
      <c r="N86" s="225">
        <f t="shared" si="12"/>
        <v>0</v>
      </c>
      <c r="O86" s="225">
        <f>SUM(O87:O95)</f>
        <v>0</v>
      </c>
      <c r="P86" s="225">
        <f>SUM(P87:P95 )</f>
        <v>0</v>
      </c>
      <c r="Q86" s="225">
        <f>SUM(Q87:Q95 )</f>
        <v>0</v>
      </c>
      <c r="R86" s="226">
        <f>SUM(R87:R95 )</f>
        <v>0</v>
      </c>
    </row>
    <row r="87" spans="1:18" ht="18" hidden="1" customHeight="1" outlineLevel="1" x14ac:dyDescent="0.3">
      <c r="A87" s="204"/>
      <c r="B87" s="227">
        <v>7.01</v>
      </c>
      <c r="C87" s="228" t="str">
        <f>'Risk Management'!B12</f>
        <v xml:space="preserve">TRAQ Attained </v>
      </c>
      <c r="D87" s="207"/>
      <c r="E87" s="207"/>
      <c r="F87" s="207"/>
      <c r="G87" s="206"/>
      <c r="H87" s="207"/>
      <c r="I87" s="208"/>
      <c r="J87" s="209"/>
      <c r="K87" s="209"/>
      <c r="L87" s="209"/>
      <c r="M87" s="209"/>
      <c r="N87" s="209"/>
      <c r="O87" s="209">
        <v>0</v>
      </c>
      <c r="P87" s="209"/>
      <c r="Q87" s="209"/>
      <c r="R87" s="210"/>
    </row>
    <row r="88" spans="1:18" ht="18" hidden="1" customHeight="1" outlineLevel="1" x14ac:dyDescent="0.3">
      <c r="A88" s="204"/>
      <c r="B88" s="227">
        <f t="shared" ref="B88:B103" si="13">B87+0.01</f>
        <v>7.02</v>
      </c>
      <c r="C88" s="228" t="str">
        <f>'Risk Management'!B13</f>
        <v>Annual Level 1 (ANSI A300 Part 9 &amp; ISA BMP)</v>
      </c>
      <c r="D88" s="207"/>
      <c r="E88" s="207"/>
      <c r="F88" s="207"/>
      <c r="G88" s="206"/>
      <c r="H88" s="207"/>
      <c r="I88" s="208"/>
      <c r="J88" s="209"/>
      <c r="K88" s="209"/>
      <c r="L88" s="209"/>
      <c r="M88" s="209"/>
      <c r="N88" s="209"/>
      <c r="O88" s="209">
        <v>0</v>
      </c>
      <c r="P88" s="209"/>
      <c r="Q88" s="209"/>
      <c r="R88" s="210"/>
    </row>
    <row r="89" spans="1:18" ht="18" hidden="1" customHeight="1" outlineLevel="1" x14ac:dyDescent="0.3">
      <c r="A89" s="204"/>
      <c r="B89" s="227">
        <f t="shared" si="13"/>
        <v>7.0299999999999994</v>
      </c>
      <c r="C89" s="228" t="str">
        <f>'Risk Management'!B14</f>
        <v>Mitigation Prioritization</v>
      </c>
      <c r="D89" s="207"/>
      <c r="E89" s="207"/>
      <c r="F89" s="207"/>
      <c r="G89" s="206"/>
      <c r="H89" s="207"/>
      <c r="I89" s="208"/>
      <c r="J89" s="209"/>
      <c r="K89" s="209"/>
      <c r="L89" s="209"/>
      <c r="M89" s="209"/>
      <c r="N89" s="209"/>
      <c r="O89" s="209">
        <v>0</v>
      </c>
      <c r="P89" s="209"/>
      <c r="Q89" s="209"/>
      <c r="R89" s="210"/>
    </row>
    <row r="90" spans="1:18" ht="18" hidden="1" customHeight="1" outlineLevel="1" x14ac:dyDescent="0.3">
      <c r="A90" s="204"/>
      <c r="B90" s="227">
        <f t="shared" si="13"/>
        <v>7.0399999999999991</v>
      </c>
      <c r="C90" s="228" t="str">
        <f>'Risk Management'!B15</f>
        <v>Occupancy Areas Mapped</v>
      </c>
      <c r="D90" s="207"/>
      <c r="E90" s="207"/>
      <c r="F90" s="207"/>
      <c r="G90" s="206"/>
      <c r="H90" s="207"/>
      <c r="I90" s="208" t="s">
        <v>433</v>
      </c>
      <c r="J90" s="209"/>
      <c r="K90" s="209"/>
      <c r="L90" s="209"/>
      <c r="M90" s="209"/>
      <c r="N90" s="209"/>
      <c r="O90" s="209">
        <v>0</v>
      </c>
      <c r="P90" s="209"/>
      <c r="Q90" s="209"/>
      <c r="R90" s="210"/>
    </row>
    <row r="91" spans="1:18" ht="18" hidden="1" customHeight="1" outlineLevel="1" x14ac:dyDescent="0.3">
      <c r="A91" s="204"/>
      <c r="B91" s="227">
        <f t="shared" si="13"/>
        <v>7.0499999999999989</v>
      </c>
      <c r="C91" s="228" t="str">
        <f>'Risk Management'!B16</f>
        <v>Recordkeeping, Reporting, and Communications</v>
      </c>
      <c r="D91" s="207"/>
      <c r="E91" s="207"/>
      <c r="F91" s="207"/>
      <c r="G91" s="206"/>
      <c r="H91" s="207"/>
      <c r="I91" s="208"/>
      <c r="J91" s="209"/>
      <c r="K91" s="209"/>
      <c r="L91" s="209"/>
      <c r="M91" s="209"/>
      <c r="N91" s="209"/>
      <c r="O91" s="209">
        <v>0</v>
      </c>
      <c r="P91" s="209"/>
      <c r="Q91" s="209"/>
      <c r="R91" s="210"/>
    </row>
    <row r="92" spans="1:18" ht="18" hidden="1" customHeight="1" outlineLevel="1" x14ac:dyDescent="0.3">
      <c r="A92" s="204"/>
      <c r="B92" s="227">
        <f t="shared" si="13"/>
        <v>7.0599999999999987</v>
      </c>
      <c r="C92" s="228" t="str">
        <f>'Risk Management'!B17</f>
        <v>Standard of Care Adopted</v>
      </c>
      <c r="D92" s="207"/>
      <c r="E92" s="207"/>
      <c r="F92" s="207"/>
      <c r="G92" s="206"/>
      <c r="H92" s="207"/>
      <c r="I92" s="208"/>
      <c r="J92" s="209"/>
      <c r="K92" s="209"/>
      <c r="L92" s="209"/>
      <c r="M92" s="209"/>
      <c r="N92" s="209"/>
      <c r="O92" s="209">
        <v>0</v>
      </c>
      <c r="P92" s="209"/>
      <c r="Q92" s="209"/>
      <c r="R92" s="210"/>
    </row>
    <row r="93" spans="1:18" ht="18" hidden="1" customHeight="1" outlineLevel="1" x14ac:dyDescent="0.3">
      <c r="A93" s="204"/>
      <c r="B93" s="227">
        <f t="shared" si="13"/>
        <v>7.0699999999999985</v>
      </c>
      <c r="C93" s="228" t="str">
        <f>'Risk Management'!B18</f>
        <v>Tree Risk Specification</v>
      </c>
      <c r="D93" s="207"/>
      <c r="E93" s="207"/>
      <c r="F93" s="207"/>
      <c r="G93" s="206"/>
      <c r="H93" s="207"/>
      <c r="I93" s="208"/>
      <c r="J93" s="209"/>
      <c r="K93" s="209"/>
      <c r="L93" s="209"/>
      <c r="M93" s="209"/>
      <c r="N93" s="209"/>
      <c r="O93" s="209">
        <v>0</v>
      </c>
      <c r="P93" s="209"/>
      <c r="Q93" s="209"/>
      <c r="R93" s="210"/>
    </row>
    <row r="94" spans="1:18" ht="18" hidden="1" customHeight="1" outlineLevel="1" x14ac:dyDescent="0.3">
      <c r="A94" s="204"/>
      <c r="B94" s="227">
        <f t="shared" si="13"/>
        <v>7.0799999999999983</v>
      </c>
      <c r="C94" s="228" t="str">
        <f>'Risk Management'!B19</f>
        <v>Urban Tree Risk Management</v>
      </c>
      <c r="D94" s="207"/>
      <c r="E94" s="207"/>
      <c r="F94" s="207"/>
      <c r="G94" s="206"/>
      <c r="H94" s="207"/>
      <c r="I94" s="208"/>
      <c r="J94" s="209"/>
      <c r="K94" s="209"/>
      <c r="L94" s="209"/>
      <c r="M94" s="209"/>
      <c r="N94" s="209"/>
      <c r="O94" s="209">
        <v>0</v>
      </c>
      <c r="P94" s="209"/>
      <c r="Q94" s="209"/>
      <c r="R94" s="210"/>
    </row>
    <row r="95" spans="1:18" ht="18" hidden="1" customHeight="1" outlineLevel="1" x14ac:dyDescent="0.3">
      <c r="A95" s="204"/>
      <c r="B95" s="227">
        <f t="shared" si="13"/>
        <v>7.0899999999999981</v>
      </c>
      <c r="C95" s="228" t="str">
        <f>'Risk Management'!B20</f>
        <v>Invasive Management</v>
      </c>
      <c r="D95" s="207"/>
      <c r="E95" s="207"/>
      <c r="F95" s="207"/>
      <c r="G95" s="206"/>
      <c r="H95" s="207"/>
      <c r="I95" s="208"/>
      <c r="J95" s="209"/>
      <c r="K95" s="209"/>
      <c r="L95" s="209"/>
      <c r="M95" s="209"/>
      <c r="N95" s="209"/>
      <c r="O95" s="209">
        <v>0</v>
      </c>
      <c r="P95" s="209"/>
      <c r="Q95" s="209"/>
      <c r="R95" s="210"/>
    </row>
    <row r="96" spans="1:18" ht="18" customHeight="1" collapsed="1" x14ac:dyDescent="0.3">
      <c r="A96" s="204"/>
      <c r="B96" s="223" t="str">
        <f>'Disaster Planning'!B8</f>
        <v>Disaster Planning</v>
      </c>
      <c r="C96" s="205"/>
      <c r="D96" s="205"/>
      <c r="E96" s="205"/>
      <c r="F96" s="205"/>
      <c r="G96" s="228"/>
      <c r="H96" s="205"/>
      <c r="I96" s="224">
        <f t="shared" ref="I96:R96" si="14">SUM(I97:I103)</f>
        <v>0</v>
      </c>
      <c r="J96" s="225">
        <f t="shared" si="14"/>
        <v>0</v>
      </c>
      <c r="K96" s="225">
        <f t="shared" si="14"/>
        <v>0</v>
      </c>
      <c r="L96" s="225">
        <f t="shared" si="14"/>
        <v>0</v>
      </c>
      <c r="M96" s="225">
        <f t="shared" si="14"/>
        <v>0</v>
      </c>
      <c r="N96" s="225">
        <f t="shared" si="14"/>
        <v>0</v>
      </c>
      <c r="O96" s="225">
        <f t="shared" si="14"/>
        <v>0</v>
      </c>
      <c r="P96" s="225">
        <f t="shared" si="14"/>
        <v>0</v>
      </c>
      <c r="Q96" s="225">
        <f t="shared" si="14"/>
        <v>0</v>
      </c>
      <c r="R96" s="226">
        <f t="shared" si="14"/>
        <v>0</v>
      </c>
    </row>
    <row r="97" spans="1:18" ht="18" hidden="1" customHeight="1" outlineLevel="1" x14ac:dyDescent="0.3">
      <c r="A97" s="204"/>
      <c r="B97" s="227">
        <v>8.01</v>
      </c>
      <c r="C97" s="228" t="str">
        <f>'Disaster Planning'!B12</f>
        <v>Response/Recovery Mechanism V</v>
      </c>
      <c r="D97" s="207"/>
      <c r="E97" s="207"/>
      <c r="F97" s="207"/>
      <c r="G97" s="206"/>
      <c r="H97" s="207"/>
      <c r="I97" s="208" t="s">
        <v>433</v>
      </c>
      <c r="J97" s="209" t="s">
        <v>433</v>
      </c>
      <c r="K97" s="209" t="s">
        <v>433</v>
      </c>
      <c r="L97" s="209" t="s">
        <v>433</v>
      </c>
      <c r="M97" s="209" t="s">
        <v>433</v>
      </c>
      <c r="N97" s="209" t="s">
        <v>433</v>
      </c>
      <c r="O97" s="209" t="s">
        <v>433</v>
      </c>
      <c r="P97" s="209" t="s">
        <v>433</v>
      </c>
      <c r="Q97" s="209" t="s">
        <v>433</v>
      </c>
      <c r="R97" s="210" t="s">
        <v>433</v>
      </c>
    </row>
    <row r="98" spans="1:18" ht="18" hidden="1" customHeight="1" outlineLevel="1" x14ac:dyDescent="0.3">
      <c r="A98" s="204"/>
      <c r="B98" s="227">
        <f t="shared" si="13"/>
        <v>8.02</v>
      </c>
      <c r="C98" s="228" t="str">
        <f>'Disaster Planning'!B13</f>
        <v>Urban Forestry as part of the County Disaster Plan V</v>
      </c>
      <c r="D98" s="207"/>
      <c r="E98" s="207"/>
      <c r="F98" s="207"/>
      <c r="G98" s="206"/>
      <c r="H98" s="207"/>
      <c r="I98" s="208"/>
      <c r="J98" s="209"/>
      <c r="K98" s="209"/>
      <c r="L98" s="209"/>
      <c r="M98" s="209"/>
      <c r="N98" s="209"/>
      <c r="O98" s="209"/>
      <c r="P98" s="209"/>
      <c r="Q98" s="209"/>
      <c r="R98" s="210"/>
    </row>
    <row r="99" spans="1:18" ht="18" hidden="1" customHeight="1" outlineLevel="1" x14ac:dyDescent="0.3">
      <c r="A99" s="204"/>
      <c r="B99" s="227">
        <f t="shared" si="13"/>
        <v>8.0299999999999994</v>
      </c>
      <c r="C99" s="228" t="str">
        <f>'Disaster Planning'!B14</f>
        <v>Urban Forestry Disaster Plan</v>
      </c>
      <c r="D99" s="207"/>
      <c r="E99" s="207"/>
      <c r="F99" s="207"/>
      <c r="G99" s="206"/>
      <c r="H99" s="207"/>
      <c r="I99" s="208"/>
      <c r="J99" s="209"/>
      <c r="K99" s="209"/>
      <c r="L99" s="209"/>
      <c r="M99" s="209"/>
      <c r="N99" s="209"/>
      <c r="O99" s="209"/>
      <c r="P99" s="209">
        <v>0</v>
      </c>
      <c r="Q99" s="209"/>
      <c r="R99" s="210"/>
    </row>
    <row r="100" spans="1:18" ht="18" hidden="1" customHeight="1" outlineLevel="1" x14ac:dyDescent="0.3">
      <c r="A100" s="204"/>
      <c r="B100" s="227">
        <f t="shared" si="13"/>
        <v>8.0399999999999991</v>
      </c>
      <c r="C100" s="228" t="str">
        <f>'Disaster Planning'!B15</f>
        <v>Pre-disaster Contracts</v>
      </c>
      <c r="D100" s="207"/>
      <c r="E100" s="207"/>
      <c r="F100" s="207"/>
      <c r="G100" s="206"/>
      <c r="H100" s="207"/>
      <c r="I100" s="208"/>
      <c r="J100" s="209"/>
      <c r="K100" s="209"/>
      <c r="L100" s="209"/>
      <c r="M100" s="209"/>
      <c r="N100" s="209"/>
      <c r="O100" s="209"/>
      <c r="P100" s="209">
        <v>0</v>
      </c>
      <c r="Q100" s="209"/>
      <c r="R100" s="210"/>
    </row>
    <row r="101" spans="1:18" ht="18" hidden="1" customHeight="1" outlineLevel="1" x14ac:dyDescent="0.3">
      <c r="A101" s="204"/>
      <c r="B101" s="227">
        <f t="shared" si="13"/>
        <v>8.0499999999999989</v>
      </c>
      <c r="C101" s="228" t="str">
        <f>'Disaster Planning'!B16</f>
        <v>Mitigation Plan</v>
      </c>
      <c r="D101" s="207"/>
      <c r="E101" s="207"/>
      <c r="F101" s="207"/>
      <c r="G101" s="206"/>
      <c r="H101" s="207"/>
      <c r="I101" s="208"/>
      <c r="J101" s="209"/>
      <c r="K101" s="209"/>
      <c r="L101" s="209"/>
      <c r="M101" s="209"/>
      <c r="N101" s="209"/>
      <c r="O101" s="209"/>
      <c r="P101" s="209">
        <v>0</v>
      </c>
      <c r="Q101" s="209"/>
      <c r="R101" s="210"/>
    </row>
    <row r="102" spans="1:18" ht="18" hidden="1" customHeight="1" outlineLevel="1" x14ac:dyDescent="0.3">
      <c r="A102" s="204"/>
      <c r="B102" s="227">
        <f t="shared" si="13"/>
        <v>8.0599999999999987</v>
      </c>
      <c r="C102" s="228" t="str">
        <f>'Disaster Planning'!B17</f>
        <v>EMAC Mission Ready Packages (MRP) V</v>
      </c>
      <c r="D102" s="207"/>
      <c r="E102" s="207"/>
      <c r="F102" s="207"/>
      <c r="G102" s="206"/>
      <c r="H102" s="207"/>
      <c r="I102" s="208" t="s">
        <v>433</v>
      </c>
      <c r="J102" s="209" t="s">
        <v>433</v>
      </c>
      <c r="K102" s="209" t="s">
        <v>433</v>
      </c>
      <c r="L102" s="209" t="s">
        <v>433</v>
      </c>
      <c r="M102" s="209" t="s">
        <v>433</v>
      </c>
      <c r="N102" s="209" t="s">
        <v>433</v>
      </c>
      <c r="O102" s="209" t="s">
        <v>433</v>
      </c>
      <c r="P102" s="209" t="s">
        <v>433</v>
      </c>
      <c r="Q102" s="209" t="s">
        <v>433</v>
      </c>
      <c r="R102" s="210" t="s">
        <v>433</v>
      </c>
    </row>
    <row r="103" spans="1:18" ht="18" hidden="1" customHeight="1" outlineLevel="1" x14ac:dyDescent="0.3">
      <c r="A103" s="204"/>
      <c r="B103" s="227">
        <f t="shared" si="13"/>
        <v>8.0699999999999985</v>
      </c>
      <c r="C103" s="228" t="str">
        <f>'Disaster Planning'!B18</f>
        <v>Urban Forst Strike Team</v>
      </c>
      <c r="D103" s="207"/>
      <c r="E103" s="207"/>
      <c r="F103" s="207"/>
      <c r="G103" s="206"/>
      <c r="H103" s="207"/>
      <c r="I103" s="208" t="s">
        <v>433</v>
      </c>
      <c r="J103" s="209" t="s">
        <v>433</v>
      </c>
      <c r="K103" s="209" t="s">
        <v>433</v>
      </c>
      <c r="L103" s="209" t="s">
        <v>433</v>
      </c>
      <c r="M103" s="209" t="s">
        <v>433</v>
      </c>
      <c r="N103" s="209" t="s">
        <v>433</v>
      </c>
      <c r="O103" s="209" t="s">
        <v>433</v>
      </c>
      <c r="P103" s="209" t="s">
        <v>433</v>
      </c>
      <c r="Q103" s="209" t="s">
        <v>433</v>
      </c>
      <c r="R103" s="210" t="s">
        <v>433</v>
      </c>
    </row>
    <row r="104" spans="1:18" ht="18" customHeight="1" collapsed="1" x14ac:dyDescent="0.3">
      <c r="A104" s="204"/>
      <c r="B104" s="223" t="str">
        <f>'Practices (Standards &amp; BMPS)'!B8</f>
        <v>Practices, Standards, and BMPs</v>
      </c>
      <c r="C104" s="205"/>
      <c r="D104" s="205"/>
      <c r="E104" s="205"/>
      <c r="F104" s="205"/>
      <c r="G104" s="228"/>
      <c r="H104" s="205"/>
      <c r="I104" s="224">
        <f>SUM(I105:I133)</f>
        <v>0</v>
      </c>
      <c r="J104" s="225">
        <f>SUM(J105:J133)</f>
        <v>0</v>
      </c>
      <c r="K104" s="225">
        <f t="shared" ref="K104:R104" si="15">SUM(K105:K133)</f>
        <v>0</v>
      </c>
      <c r="L104" s="225">
        <f t="shared" si="15"/>
        <v>0</v>
      </c>
      <c r="M104" s="225">
        <f t="shared" si="15"/>
        <v>0</v>
      </c>
      <c r="N104" s="225">
        <f t="shared" si="15"/>
        <v>0</v>
      </c>
      <c r="O104" s="225">
        <f t="shared" si="15"/>
        <v>0</v>
      </c>
      <c r="P104" s="225">
        <f t="shared" si="15"/>
        <v>0</v>
      </c>
      <c r="Q104" s="225">
        <f t="shared" si="15"/>
        <v>0</v>
      </c>
      <c r="R104" s="226">
        <f t="shared" si="15"/>
        <v>0</v>
      </c>
    </row>
    <row r="105" spans="1:18" ht="18" hidden="1" customHeight="1" outlineLevel="1" x14ac:dyDescent="0.3">
      <c r="A105" s="204"/>
      <c r="B105" s="227">
        <v>9.01</v>
      </c>
      <c r="C105" s="228" t="str">
        <f>'Practices (Standards &amp; BMPS)'!B12</f>
        <v>ANSI Standards</v>
      </c>
      <c r="D105" s="207"/>
      <c r="E105" s="207"/>
      <c r="F105" s="207"/>
      <c r="G105" s="206"/>
      <c r="H105" s="207"/>
      <c r="I105" s="238" t="s">
        <v>433</v>
      </c>
      <c r="J105" s="209" t="s">
        <v>433</v>
      </c>
      <c r="K105" s="209" t="s">
        <v>433</v>
      </c>
      <c r="L105" s="209" t="s">
        <v>433</v>
      </c>
      <c r="M105" s="209" t="s">
        <v>433</v>
      </c>
      <c r="N105" s="209" t="s">
        <v>433</v>
      </c>
      <c r="O105" s="209" t="s">
        <v>433</v>
      </c>
      <c r="P105" s="209" t="s">
        <v>433</v>
      </c>
      <c r="Q105" s="209" t="s">
        <v>433</v>
      </c>
      <c r="R105" s="210" t="s">
        <v>433</v>
      </c>
    </row>
    <row r="106" spans="1:18" ht="18" hidden="1" customHeight="1" outlineLevel="1" x14ac:dyDescent="0.3">
      <c r="A106" s="204"/>
      <c r="B106" s="227">
        <f t="shared" ref="B106:B149" si="16">B105+0.01</f>
        <v>9.02</v>
      </c>
      <c r="C106" s="228" t="str">
        <f>'Practices (Standards &amp; BMPS)'!B13</f>
        <v>Ages/Diameter Distribution</v>
      </c>
      <c r="D106" s="207"/>
      <c r="E106" s="207"/>
      <c r="F106" s="207"/>
      <c r="G106" s="206"/>
      <c r="H106" s="207"/>
      <c r="I106" s="208"/>
      <c r="J106" s="209"/>
      <c r="K106" s="209"/>
      <c r="L106" s="209"/>
      <c r="M106" s="209"/>
      <c r="N106" s="209"/>
      <c r="O106" s="209"/>
      <c r="P106" s="209"/>
      <c r="Q106" s="209"/>
      <c r="R106" s="210"/>
    </row>
    <row r="107" spans="1:18" ht="18" hidden="1" customHeight="1" outlineLevel="1" x14ac:dyDescent="0.3">
      <c r="A107" s="204"/>
      <c r="B107" s="227">
        <f t="shared" si="16"/>
        <v>9.0299999999999994</v>
      </c>
      <c r="C107" s="228" t="str">
        <f>'Practices (Standards &amp; BMPS)'!B14</f>
        <v>Arborist Standards</v>
      </c>
      <c r="D107" s="207"/>
      <c r="E107" s="207"/>
      <c r="F107" s="207"/>
      <c r="G107" s="206"/>
      <c r="H107" s="207"/>
      <c r="I107" s="208"/>
      <c r="J107" s="209"/>
      <c r="K107" s="209"/>
      <c r="L107" s="209"/>
      <c r="M107" s="209"/>
      <c r="N107" s="209"/>
      <c r="O107" s="209"/>
      <c r="P107" s="209"/>
      <c r="Q107" s="209"/>
      <c r="R107" s="210"/>
    </row>
    <row r="108" spans="1:18" ht="18" hidden="1" customHeight="1" outlineLevel="1" x14ac:dyDescent="0.3">
      <c r="A108" s="204"/>
      <c r="B108" s="227">
        <f t="shared" si="16"/>
        <v>9.0399999999999991</v>
      </c>
      <c r="C108" s="228" t="str">
        <f>'Practices (Standards &amp; BMPS)'!B15</f>
        <v>Best Management Practices (BMPs)</v>
      </c>
      <c r="D108" s="207"/>
      <c r="E108" s="207"/>
      <c r="F108" s="207"/>
      <c r="G108" s="206"/>
      <c r="H108" s="207"/>
      <c r="I108" s="208"/>
      <c r="J108" s="209"/>
      <c r="K108" s="209"/>
      <c r="L108" s="209"/>
      <c r="M108" s="209"/>
      <c r="N108" s="209"/>
      <c r="O108" s="209"/>
      <c r="P108" s="209"/>
      <c r="Q108" s="209"/>
      <c r="R108" s="210"/>
    </row>
    <row r="109" spans="1:18" ht="18" hidden="1" customHeight="1" outlineLevel="1" x14ac:dyDescent="0.3">
      <c r="A109" s="204"/>
      <c r="B109" s="227">
        <f t="shared" si="16"/>
        <v>9.0499999999999989</v>
      </c>
      <c r="C109" s="228" t="str">
        <f>'Practices (Standards &amp; BMPS)'!B16</f>
        <v>Fertilization and Mulching</v>
      </c>
      <c r="D109" s="207"/>
      <c r="E109" s="207"/>
      <c r="F109" s="207"/>
      <c r="G109" s="206"/>
      <c r="H109" s="207"/>
      <c r="I109" s="208"/>
      <c r="J109" s="209"/>
      <c r="K109" s="209"/>
      <c r="L109" s="209"/>
      <c r="M109" s="209"/>
      <c r="N109" s="209"/>
      <c r="O109" s="209"/>
      <c r="P109" s="209"/>
      <c r="Q109" s="209"/>
      <c r="R109" s="210"/>
    </row>
    <row r="110" spans="1:18" ht="18" hidden="1" customHeight="1" outlineLevel="1" x14ac:dyDescent="0.3">
      <c r="A110" s="204"/>
      <c r="B110" s="227">
        <f t="shared" si="16"/>
        <v>9.0599999999999987</v>
      </c>
      <c r="C110" s="228" t="str">
        <f>'Practices (Standards &amp; BMPS)'!B17</f>
        <v>Lightning Protection Systems</v>
      </c>
      <c r="D110" s="207"/>
      <c r="E110" s="207"/>
      <c r="F110" s="207"/>
      <c r="G110" s="206"/>
      <c r="H110" s="207"/>
      <c r="I110" s="208"/>
      <c r="J110" s="209"/>
      <c r="K110" s="209"/>
      <c r="L110" s="209"/>
      <c r="M110" s="209"/>
      <c r="N110" s="209"/>
      <c r="O110" s="209"/>
      <c r="P110" s="209"/>
      <c r="Q110" s="209"/>
      <c r="R110" s="210"/>
    </row>
    <row r="111" spans="1:18" ht="18" hidden="1" customHeight="1" outlineLevel="1" x14ac:dyDescent="0.3">
      <c r="A111" s="204"/>
      <c r="B111" s="227">
        <f t="shared" si="16"/>
        <v>9.0699999999999985</v>
      </c>
      <c r="C111" s="228" t="str">
        <f>'Practices (Standards &amp; BMPS)'!B18</f>
        <v>Planting</v>
      </c>
      <c r="D111" s="207"/>
      <c r="E111" s="207"/>
      <c r="F111" s="207"/>
      <c r="G111" s="206"/>
      <c r="H111" s="207"/>
      <c r="I111" s="208"/>
      <c r="J111" s="209"/>
      <c r="K111" s="209"/>
      <c r="L111" s="209"/>
      <c r="M111" s="209"/>
      <c r="N111" s="209"/>
      <c r="O111" s="209"/>
      <c r="P111" s="209"/>
      <c r="Q111" s="209"/>
      <c r="R111" s="210"/>
    </row>
    <row r="112" spans="1:18" ht="18" hidden="1" customHeight="1" outlineLevel="1" x14ac:dyDescent="0.3">
      <c r="A112" s="204"/>
      <c r="B112" s="227">
        <f t="shared" si="16"/>
        <v>9.0799999999999983</v>
      </c>
      <c r="C112" s="228" t="str">
        <f>'Practices (Standards &amp; BMPS)'!B19</f>
        <v>Pruning</v>
      </c>
      <c r="D112" s="207"/>
      <c r="E112" s="207"/>
      <c r="F112" s="207"/>
      <c r="G112" s="206"/>
      <c r="H112" s="207"/>
      <c r="I112" s="208"/>
      <c r="J112" s="209"/>
      <c r="K112" s="209"/>
      <c r="L112" s="209"/>
      <c r="M112" s="209"/>
      <c r="N112" s="209"/>
      <c r="O112" s="209"/>
      <c r="P112" s="209"/>
      <c r="Q112" s="209"/>
      <c r="R112" s="210"/>
    </row>
    <row r="113" spans="1:18" ht="18" hidden="1" customHeight="1" outlineLevel="1" x14ac:dyDescent="0.3">
      <c r="A113" s="204"/>
      <c r="B113" s="227">
        <f t="shared" si="16"/>
        <v>9.0899999999999981</v>
      </c>
      <c r="C113" s="228" t="str">
        <f>'Practices (Standards &amp; BMPS)'!B20</f>
        <v>Removal</v>
      </c>
      <c r="D113" s="207"/>
      <c r="E113" s="207"/>
      <c r="F113" s="207"/>
      <c r="G113" s="206"/>
      <c r="H113" s="207"/>
      <c r="I113" s="208"/>
      <c r="J113" s="209"/>
      <c r="K113" s="209"/>
      <c r="L113" s="209"/>
      <c r="M113" s="209"/>
      <c r="N113" s="209"/>
      <c r="O113" s="209"/>
      <c r="P113" s="209"/>
      <c r="Q113" s="209"/>
      <c r="R113" s="210"/>
    </row>
    <row r="114" spans="1:18" ht="18" hidden="1" customHeight="1" outlineLevel="1" x14ac:dyDescent="0.3">
      <c r="A114" s="204"/>
      <c r="B114" s="227">
        <f t="shared" si="16"/>
        <v>9.0999999999999979</v>
      </c>
      <c r="C114" s="228" t="str">
        <f>'Practices (Standards &amp; BMPS)'!B21</f>
        <v>Support Systems (Guying and Bracing)</v>
      </c>
      <c r="D114" s="207"/>
      <c r="E114" s="207"/>
      <c r="F114" s="207"/>
      <c r="G114" s="206"/>
      <c r="H114" s="207"/>
      <c r="I114" s="208"/>
      <c r="J114" s="209"/>
      <c r="K114" s="209"/>
      <c r="L114" s="209"/>
      <c r="M114" s="209"/>
      <c r="N114" s="209"/>
      <c r="O114" s="209"/>
      <c r="P114" s="209"/>
      <c r="Q114" s="209"/>
      <c r="R114" s="210"/>
    </row>
    <row r="115" spans="1:18" ht="18" hidden="1" customHeight="1" outlineLevel="1" x14ac:dyDescent="0.3">
      <c r="A115" s="204"/>
      <c r="B115" s="227">
        <f t="shared" si="16"/>
        <v>9.1099999999999977</v>
      </c>
      <c r="C115" s="228" t="str">
        <f>'Practices (Standards &amp; BMPS)'!B22</f>
        <v>Tree Risk</v>
      </c>
      <c r="D115" s="207"/>
      <c r="E115" s="207"/>
      <c r="F115" s="207"/>
      <c r="G115" s="206"/>
      <c r="H115" s="207"/>
      <c r="I115" s="208"/>
      <c r="J115" s="209"/>
      <c r="K115" s="209"/>
      <c r="L115" s="209"/>
      <c r="M115" s="209"/>
      <c r="N115" s="209"/>
      <c r="O115" s="209"/>
      <c r="P115" s="209"/>
      <c r="Q115" s="209"/>
      <c r="R115" s="210"/>
    </row>
    <row r="116" spans="1:18" ht="18" hidden="1" customHeight="1" outlineLevel="1" x14ac:dyDescent="0.3">
      <c r="A116" s="204"/>
      <c r="B116" s="227">
        <f t="shared" si="16"/>
        <v>9.1199999999999974</v>
      </c>
      <c r="C116" s="228" t="str">
        <f>'Practices (Standards &amp; BMPS)'!B23</f>
        <v>Construction Management Standards</v>
      </c>
      <c r="D116" s="207"/>
      <c r="E116" s="207"/>
      <c r="F116" s="207"/>
      <c r="G116" s="206"/>
      <c r="H116" s="207"/>
      <c r="I116" s="208" t="s">
        <v>433</v>
      </c>
      <c r="J116" s="209" t="s">
        <v>433</v>
      </c>
      <c r="K116" s="209" t="s">
        <v>433</v>
      </c>
      <c r="L116" s="209" t="s">
        <v>433</v>
      </c>
      <c r="M116" s="209" t="s">
        <v>433</v>
      </c>
      <c r="N116" s="209" t="s">
        <v>433</v>
      </c>
      <c r="O116" s="209" t="s">
        <v>433</v>
      </c>
      <c r="P116" s="209" t="s">
        <v>433</v>
      </c>
      <c r="Q116" s="209" t="s">
        <v>433</v>
      </c>
      <c r="R116" s="210" t="s">
        <v>433</v>
      </c>
    </row>
    <row r="117" spans="1:18" ht="18" hidden="1" customHeight="1" outlineLevel="1" x14ac:dyDescent="0.3">
      <c r="A117" s="204"/>
      <c r="B117" s="227">
        <f t="shared" si="16"/>
        <v>9.1299999999999972</v>
      </c>
      <c r="C117" s="228" t="str">
        <f>'Practices (Standards &amp; BMPS)'!B24</f>
        <v>Design Standards</v>
      </c>
      <c r="D117" s="207"/>
      <c r="E117" s="207"/>
      <c r="F117" s="207"/>
      <c r="G117" s="206"/>
      <c r="H117" s="207"/>
      <c r="I117" s="208"/>
      <c r="J117" s="209"/>
      <c r="K117" s="209"/>
      <c r="L117" s="209"/>
      <c r="M117" s="209"/>
      <c r="N117" s="209"/>
      <c r="O117" s="209"/>
      <c r="P117" s="209"/>
      <c r="Q117" s="209"/>
      <c r="R117" s="210"/>
    </row>
    <row r="118" spans="1:18" ht="18" hidden="1" customHeight="1" outlineLevel="1" x14ac:dyDescent="0.3">
      <c r="A118" s="204"/>
      <c r="B118" s="227">
        <f t="shared" si="16"/>
        <v>9.139999999999997</v>
      </c>
      <c r="C118" s="228" t="str">
        <f>'Practices (Standards &amp; BMPS)'!B25</f>
        <v>Genus/Species Diversity</v>
      </c>
      <c r="D118" s="207"/>
      <c r="E118" s="207"/>
      <c r="F118" s="207"/>
      <c r="G118" s="206"/>
      <c r="H118" s="207"/>
      <c r="I118" s="208"/>
      <c r="J118" s="209"/>
      <c r="K118" s="209"/>
      <c r="L118" s="209"/>
      <c r="M118" s="209"/>
      <c r="N118" s="209"/>
      <c r="O118" s="209"/>
      <c r="P118" s="209"/>
      <c r="Q118" s="209"/>
      <c r="R118" s="210"/>
    </row>
    <row r="119" spans="1:18" ht="18" hidden="1" customHeight="1" outlineLevel="1" x14ac:dyDescent="0.3">
      <c r="A119" s="204"/>
      <c r="B119" s="227">
        <f t="shared" si="16"/>
        <v>9.1499999999999968</v>
      </c>
      <c r="C119" s="228" t="str">
        <f>'Practices (Standards &amp; BMPS)'!B26</f>
        <v>Green Stormwater Infrastructure (GSI)</v>
      </c>
      <c r="D119" s="207"/>
      <c r="E119" s="207"/>
      <c r="F119" s="207"/>
      <c r="G119" s="206"/>
      <c r="H119" s="207"/>
      <c r="I119" s="208"/>
      <c r="J119" s="209"/>
      <c r="K119" s="209"/>
      <c r="L119" s="209"/>
      <c r="M119" s="209"/>
      <c r="N119" s="209"/>
      <c r="O119" s="209"/>
      <c r="P119" s="209"/>
      <c r="Q119" s="209"/>
      <c r="R119" s="210"/>
    </row>
    <row r="120" spans="1:18" ht="18" hidden="1" customHeight="1" outlineLevel="1" x14ac:dyDescent="0.3">
      <c r="A120" s="204"/>
      <c r="B120" s="227">
        <f t="shared" si="16"/>
        <v>9.1599999999999966</v>
      </c>
      <c r="C120" s="228" t="str">
        <f>'Practices (Standards &amp; BMPS)'!B27</f>
        <v>Inventory Data Collection</v>
      </c>
      <c r="D120" s="207"/>
      <c r="E120" s="207"/>
      <c r="F120" s="207"/>
      <c r="G120" s="206"/>
      <c r="H120" s="207"/>
      <c r="I120" s="208"/>
      <c r="J120" s="209"/>
      <c r="K120" s="209"/>
      <c r="L120" s="209"/>
      <c r="M120" s="209"/>
      <c r="N120" s="209"/>
      <c r="O120" s="209"/>
      <c r="P120" s="209"/>
      <c r="Q120" s="209"/>
      <c r="R120" s="210"/>
    </row>
    <row r="121" spans="1:18" ht="18" hidden="1" customHeight="1" outlineLevel="1" x14ac:dyDescent="0.3">
      <c r="A121" s="204"/>
      <c r="B121" s="227">
        <f t="shared" si="16"/>
        <v>9.1699999999999964</v>
      </c>
      <c r="C121" s="228" t="str">
        <f>'Practices (Standards &amp; BMPS)'!B28</f>
        <v>Minimum Planting Volume</v>
      </c>
      <c r="D121" s="207"/>
      <c r="E121" s="207"/>
      <c r="F121" s="207"/>
      <c r="G121" s="206"/>
      <c r="H121" s="207"/>
      <c r="I121" s="208"/>
      <c r="J121" s="209"/>
      <c r="K121" s="209"/>
      <c r="L121" s="209"/>
      <c r="M121" s="209"/>
      <c r="N121" s="209"/>
      <c r="O121" s="209"/>
      <c r="P121" s="209"/>
      <c r="Q121" s="209"/>
      <c r="R121" s="210"/>
    </row>
    <row r="122" spans="1:18" ht="18" hidden="1" customHeight="1" outlineLevel="1" x14ac:dyDescent="0.3">
      <c r="A122" s="204"/>
      <c r="B122" s="227">
        <f t="shared" si="16"/>
        <v>9.1799999999999962</v>
      </c>
      <c r="C122" s="228" t="str">
        <f>'Practices (Standards &amp; BMPS)'!B29</f>
        <v>Minimum Tree Size</v>
      </c>
      <c r="D122" s="207"/>
      <c r="E122" s="207"/>
      <c r="F122" s="207"/>
      <c r="G122" s="206"/>
      <c r="H122" s="207"/>
      <c r="I122" s="208"/>
      <c r="J122" s="209"/>
      <c r="K122" s="209"/>
      <c r="L122" s="209"/>
      <c r="M122" s="209"/>
      <c r="N122" s="209"/>
      <c r="O122" s="209"/>
      <c r="P122" s="209"/>
      <c r="Q122" s="209"/>
      <c r="R122" s="210"/>
    </row>
    <row r="123" spans="1:18" ht="18" hidden="1" customHeight="1" outlineLevel="1" x14ac:dyDescent="0.3">
      <c r="A123" s="204"/>
      <c r="B123" s="227">
        <f t="shared" si="16"/>
        <v>9.1899999999999959</v>
      </c>
      <c r="C123" s="228" t="str">
        <f>'Practices (Standards &amp; BMPS)'!B30</f>
        <v>Root Protection Zone (CRZ)</v>
      </c>
      <c r="D123" s="207"/>
      <c r="E123" s="207"/>
      <c r="F123" s="207"/>
      <c r="G123" s="206"/>
      <c r="H123" s="207"/>
      <c r="I123" s="208"/>
      <c r="J123" s="209"/>
      <c r="K123" s="209"/>
      <c r="L123" s="209"/>
      <c r="M123" s="209"/>
      <c r="N123" s="209"/>
      <c r="O123" s="209"/>
      <c r="P123" s="209"/>
      <c r="Q123" s="209"/>
      <c r="R123" s="210"/>
    </row>
    <row r="124" spans="1:18" ht="18" hidden="1" customHeight="1" outlineLevel="1" x14ac:dyDescent="0.3">
      <c r="A124" s="204"/>
      <c r="B124" s="227">
        <f t="shared" si="16"/>
        <v>9.1999999999999957</v>
      </c>
      <c r="C124" s="228" t="str">
        <f>'Practices (Standards &amp; BMPS)'!B31</f>
        <v>Safety</v>
      </c>
      <c r="D124" s="207"/>
      <c r="E124" s="207"/>
      <c r="F124" s="207"/>
      <c r="G124" s="206"/>
      <c r="H124" s="207"/>
      <c r="I124" s="208"/>
      <c r="J124" s="209"/>
      <c r="K124" s="209"/>
      <c r="L124" s="209"/>
      <c r="M124" s="209"/>
      <c r="N124" s="209"/>
      <c r="O124" s="209"/>
      <c r="P124" s="209"/>
      <c r="Q124" s="209"/>
      <c r="R124" s="210"/>
    </row>
    <row r="125" spans="1:18" ht="18" hidden="1" customHeight="1" outlineLevel="1" x14ac:dyDescent="0.3">
      <c r="A125" s="204"/>
      <c r="B125" s="227">
        <f t="shared" si="16"/>
        <v>9.2099999999999955</v>
      </c>
      <c r="C125" s="228" t="str">
        <f>'Practices (Standards &amp; BMPS)'!B32</f>
        <v>Topping</v>
      </c>
      <c r="D125" s="207"/>
      <c r="E125" s="207"/>
      <c r="F125" s="207"/>
      <c r="G125" s="206"/>
      <c r="H125" s="207"/>
      <c r="I125" s="208"/>
      <c r="J125" s="209"/>
      <c r="K125" s="209"/>
      <c r="L125" s="209"/>
      <c r="M125" s="209"/>
      <c r="N125" s="209"/>
      <c r="O125" s="209"/>
      <c r="P125" s="209"/>
      <c r="Q125" s="209"/>
      <c r="R125" s="210"/>
    </row>
    <row r="126" spans="1:18" ht="18" hidden="1" customHeight="1" outlineLevel="1" x14ac:dyDescent="0.3">
      <c r="A126" s="204"/>
      <c r="B126" s="227">
        <f t="shared" si="16"/>
        <v>9.2199999999999953</v>
      </c>
      <c r="C126" s="228" t="str">
        <f>'Practices (Standards &amp; BMPS)'!B33</f>
        <v>Tree Species List</v>
      </c>
      <c r="D126" s="207"/>
      <c r="E126" s="207"/>
      <c r="F126" s="207"/>
      <c r="G126" s="206"/>
      <c r="H126" s="207"/>
      <c r="I126" s="208"/>
      <c r="J126" s="209"/>
      <c r="K126" s="209"/>
      <c r="L126" s="209"/>
      <c r="M126" s="209"/>
      <c r="N126" s="209"/>
      <c r="O126" s="209"/>
      <c r="P126" s="209"/>
      <c r="Q126" s="209"/>
      <c r="R126" s="210"/>
    </row>
    <row r="127" spans="1:18" ht="18" hidden="1" customHeight="1" outlineLevel="1" x14ac:dyDescent="0.3">
      <c r="A127" s="204"/>
      <c r="B127" s="227">
        <f t="shared" si="16"/>
        <v>9.2299999999999951</v>
      </c>
      <c r="C127" s="228" t="str">
        <f>'Practices (Standards &amp; BMPS)'!B34</f>
        <v>Tree Quality Standards</v>
      </c>
      <c r="D127" s="207"/>
      <c r="E127" s="207"/>
      <c r="F127" s="207"/>
      <c r="G127" s="206"/>
      <c r="H127" s="207"/>
      <c r="I127" s="208"/>
      <c r="J127" s="209"/>
      <c r="K127" s="209"/>
      <c r="L127" s="209"/>
      <c r="M127" s="209"/>
      <c r="N127" s="209"/>
      <c r="O127" s="209"/>
      <c r="P127" s="209"/>
      <c r="Q127" s="209"/>
      <c r="R127" s="210"/>
    </row>
    <row r="128" spans="1:18" ht="18" hidden="1" customHeight="1" outlineLevel="1" x14ac:dyDescent="0.3">
      <c r="A128" s="204"/>
      <c r="B128" s="227">
        <f t="shared" si="16"/>
        <v>9.2399999999999949</v>
      </c>
      <c r="C128" s="228" t="str">
        <f>'Practices (Standards &amp; BMPS)'!B35</f>
        <v>Utility Right-of-Way ( ROW) Management</v>
      </c>
      <c r="D128" s="207"/>
      <c r="E128" s="207"/>
      <c r="F128" s="207"/>
      <c r="G128" s="206"/>
      <c r="H128" s="207"/>
      <c r="I128" s="208"/>
      <c r="J128" s="209"/>
      <c r="K128" s="209"/>
      <c r="L128" s="209"/>
      <c r="M128" s="209"/>
      <c r="N128" s="209"/>
      <c r="O128" s="209"/>
      <c r="P128" s="209"/>
      <c r="Q128" s="209"/>
      <c r="R128" s="210"/>
    </row>
    <row r="129" spans="1:18" ht="18" hidden="1" customHeight="1" outlineLevel="1" x14ac:dyDescent="0.3">
      <c r="A129" s="204"/>
      <c r="B129" s="227">
        <f t="shared" si="16"/>
        <v>9.2499999999999947</v>
      </c>
      <c r="C129" s="228" t="str">
        <f>'Practices (Standards &amp; BMPS)'!B36</f>
        <v>Urban Agriculture</v>
      </c>
      <c r="D129" s="207"/>
      <c r="E129" s="207"/>
      <c r="F129" s="207"/>
      <c r="G129" s="206"/>
      <c r="H129" s="207"/>
      <c r="I129" s="208"/>
      <c r="J129" s="209"/>
      <c r="K129" s="209"/>
      <c r="L129" s="209"/>
      <c r="M129" s="209"/>
      <c r="N129" s="209"/>
      <c r="O129" s="209"/>
      <c r="P129" s="209"/>
      <c r="Q129" s="209"/>
      <c r="R129" s="210"/>
    </row>
    <row r="130" spans="1:18" ht="18" hidden="1" customHeight="1" outlineLevel="1" x14ac:dyDescent="0.3">
      <c r="A130" s="204"/>
      <c r="B130" s="227">
        <f t="shared" si="16"/>
        <v>9.2599999999999945</v>
      </c>
      <c r="C130" s="228" t="str">
        <f>'Practices (Standards &amp; BMPS)'!B37</f>
        <v>Wood Utilization</v>
      </c>
      <c r="D130" s="207"/>
      <c r="E130" s="207"/>
      <c r="F130" s="207"/>
      <c r="G130" s="206"/>
      <c r="H130" s="207"/>
      <c r="I130" s="208"/>
      <c r="J130" s="209"/>
      <c r="K130" s="209"/>
      <c r="L130" s="209"/>
      <c r="M130" s="209"/>
      <c r="N130" s="209"/>
      <c r="O130" s="209"/>
      <c r="P130" s="209"/>
      <c r="Q130" s="209"/>
      <c r="R130" s="210"/>
    </row>
    <row r="131" spans="1:18" ht="18" hidden="1" customHeight="1" outlineLevel="1" x14ac:dyDescent="0.3">
      <c r="A131" s="204"/>
      <c r="B131" s="227">
        <f t="shared" si="16"/>
        <v>9.2699999999999942</v>
      </c>
      <c r="C131" s="228" t="str">
        <f>'Practices (Standards &amp; BMPS)'!B38</f>
        <v>Third-party forest products certification compliance</v>
      </c>
      <c r="D131" s="207"/>
      <c r="E131" s="207"/>
      <c r="F131" s="207"/>
      <c r="G131" s="206"/>
      <c r="H131" s="207"/>
      <c r="I131" s="208" t="s">
        <v>433</v>
      </c>
      <c r="J131" s="209" t="s">
        <v>433</v>
      </c>
      <c r="K131" s="209" t="s">
        <v>433</v>
      </c>
      <c r="L131" s="209" t="s">
        <v>433</v>
      </c>
      <c r="M131" s="209" t="s">
        <v>433</v>
      </c>
      <c r="N131" s="209" t="s">
        <v>433</v>
      </c>
      <c r="O131" s="209" t="s">
        <v>433</v>
      </c>
      <c r="P131" s="209" t="s">
        <v>433</v>
      </c>
      <c r="Q131" s="209" t="s">
        <v>433</v>
      </c>
      <c r="R131" s="210" t="s">
        <v>433</v>
      </c>
    </row>
    <row r="132" spans="1:18" ht="18" hidden="1" customHeight="1" outlineLevel="1" x14ac:dyDescent="0.3">
      <c r="A132" s="204"/>
      <c r="B132" s="227">
        <f t="shared" si="16"/>
        <v>9.279999999999994</v>
      </c>
      <c r="C132" s="228" t="str">
        <f>'Practices (Standards &amp; BMPS)'!B39</f>
        <v>Energy generation</v>
      </c>
      <c r="D132" s="207"/>
      <c r="E132" s="207"/>
      <c r="F132" s="207"/>
      <c r="G132" s="206"/>
      <c r="H132" s="207"/>
      <c r="I132" s="208" t="s">
        <v>433</v>
      </c>
      <c r="J132" s="209" t="s">
        <v>433</v>
      </c>
      <c r="K132" s="209" t="s">
        <v>433</v>
      </c>
      <c r="L132" s="209" t="s">
        <v>433</v>
      </c>
      <c r="M132" s="209" t="s">
        <v>433</v>
      </c>
      <c r="N132" s="209" t="s">
        <v>433</v>
      </c>
      <c r="O132" s="209" t="s">
        <v>433</v>
      </c>
      <c r="P132" s="209" t="s">
        <v>433</v>
      </c>
      <c r="Q132" s="209" t="s">
        <v>433</v>
      </c>
      <c r="R132" s="210" t="s">
        <v>433</v>
      </c>
    </row>
    <row r="133" spans="1:18" ht="18" hidden="1" customHeight="1" outlineLevel="1" x14ac:dyDescent="0.3">
      <c r="A133" s="204"/>
      <c r="B133" s="227">
        <f t="shared" si="16"/>
        <v>9.2899999999999938</v>
      </c>
      <c r="C133" s="228" t="str">
        <f>'Practices (Standards &amp; BMPS)'!B40</f>
        <v>Composting  of Leaf and/or Other Woody Debris</v>
      </c>
      <c r="D133" s="207"/>
      <c r="E133" s="207"/>
      <c r="F133" s="207"/>
      <c r="G133" s="206"/>
      <c r="H133" s="207"/>
      <c r="I133" s="208" t="s">
        <v>433</v>
      </c>
      <c r="J133" s="209" t="s">
        <v>433</v>
      </c>
      <c r="K133" s="209" t="s">
        <v>433</v>
      </c>
      <c r="L133" s="209" t="s">
        <v>433</v>
      </c>
      <c r="M133" s="209" t="s">
        <v>433</v>
      </c>
      <c r="N133" s="209" t="s">
        <v>433</v>
      </c>
      <c r="O133" s="209" t="s">
        <v>433</v>
      </c>
      <c r="P133" s="209" t="s">
        <v>433</v>
      </c>
      <c r="Q133" s="209" t="s">
        <v>433</v>
      </c>
      <c r="R133" s="210" t="s">
        <v>433</v>
      </c>
    </row>
    <row r="134" spans="1:18" ht="18" customHeight="1" collapsed="1" x14ac:dyDescent="0.3">
      <c r="A134" s="204"/>
      <c r="B134" s="223" t="str">
        <f>Community!B8</f>
        <v>Community</v>
      </c>
      <c r="C134" s="205"/>
      <c r="D134" s="205"/>
      <c r="E134" s="205"/>
      <c r="F134" s="205"/>
      <c r="G134" s="228"/>
      <c r="H134" s="205"/>
      <c r="I134" s="224">
        <f t="shared" ref="I134:R134" si="17">SUM(I135:I149 )</f>
        <v>0</v>
      </c>
      <c r="J134" s="225">
        <f t="shared" si="17"/>
        <v>0</v>
      </c>
      <c r="K134" s="225">
        <f t="shared" si="17"/>
        <v>0</v>
      </c>
      <c r="L134" s="225">
        <f t="shared" si="17"/>
        <v>0</v>
      </c>
      <c r="M134" s="225">
        <f t="shared" si="17"/>
        <v>0</v>
      </c>
      <c r="N134" s="225">
        <f t="shared" si="17"/>
        <v>0</v>
      </c>
      <c r="O134" s="225">
        <f t="shared" si="17"/>
        <v>0</v>
      </c>
      <c r="P134" s="225">
        <f t="shared" si="17"/>
        <v>0</v>
      </c>
      <c r="Q134" s="225">
        <f t="shared" si="17"/>
        <v>0</v>
      </c>
      <c r="R134" s="226">
        <f t="shared" si="17"/>
        <v>0</v>
      </c>
    </row>
    <row r="135" spans="1:18" ht="18" hidden="1" customHeight="1" outlineLevel="1" x14ac:dyDescent="0.3">
      <c r="A135" s="40"/>
      <c r="B135" s="232">
        <v>10.01</v>
      </c>
      <c r="C135" s="233" t="str">
        <f>Community!B12</f>
        <v>American Grove</v>
      </c>
      <c r="D135" s="189"/>
      <c r="E135" s="189"/>
      <c r="F135" s="189"/>
      <c r="G135" s="196"/>
      <c r="H135" s="189"/>
      <c r="I135" s="238" t="s">
        <v>433</v>
      </c>
      <c r="J135" s="209" t="s">
        <v>433</v>
      </c>
      <c r="K135" s="209" t="s">
        <v>433</v>
      </c>
      <c r="L135" s="209" t="s">
        <v>433</v>
      </c>
      <c r="M135" s="209" t="s">
        <v>433</v>
      </c>
      <c r="N135" s="209" t="s">
        <v>433</v>
      </c>
      <c r="O135" s="209" t="s">
        <v>433</v>
      </c>
      <c r="P135" s="209" t="s">
        <v>433</v>
      </c>
      <c r="Q135" s="209" t="s">
        <v>433</v>
      </c>
      <c r="R135" s="210" t="s">
        <v>433</v>
      </c>
    </row>
    <row r="136" spans="1:18" ht="18" hidden="1" customHeight="1" outlineLevel="1" x14ac:dyDescent="0.3">
      <c r="A136" s="40"/>
      <c r="B136" s="232">
        <f t="shared" si="16"/>
        <v>10.02</v>
      </c>
      <c r="C136" s="233" t="str">
        <f>Community!B13</f>
        <v>Education</v>
      </c>
      <c r="D136" s="189"/>
      <c r="E136" s="189"/>
      <c r="F136" s="189"/>
      <c r="G136" s="196"/>
      <c r="H136" s="189"/>
      <c r="I136" s="208"/>
      <c r="J136" s="209"/>
      <c r="K136" s="209"/>
      <c r="L136" s="209"/>
      <c r="M136" s="209"/>
      <c r="N136" s="209"/>
      <c r="O136" s="209"/>
      <c r="P136" s="209"/>
      <c r="Q136" s="209"/>
      <c r="R136" s="210">
        <v>0</v>
      </c>
    </row>
    <row r="137" spans="1:18" ht="18" hidden="1" customHeight="1" outlineLevel="1" x14ac:dyDescent="0.3">
      <c r="A137" s="40"/>
      <c r="B137" s="232">
        <f t="shared" si="16"/>
        <v>10.029999999999999</v>
      </c>
      <c r="C137" s="233" t="str">
        <f>Community!B14</f>
        <v>NeighborWoods® Program V</v>
      </c>
      <c r="D137" s="189"/>
      <c r="E137" s="189"/>
      <c r="F137" s="189"/>
      <c r="G137" s="196"/>
      <c r="H137" s="189"/>
      <c r="I137" s="208"/>
      <c r="J137" s="209"/>
      <c r="K137" s="209"/>
      <c r="L137" s="209"/>
      <c r="M137" s="209"/>
      <c r="N137" s="209"/>
      <c r="O137" s="209"/>
      <c r="P137" s="209"/>
      <c r="Q137" s="209"/>
      <c r="R137" s="210"/>
    </row>
    <row r="138" spans="1:18" ht="18" hidden="1" customHeight="1" outlineLevel="1" x14ac:dyDescent="0.3">
      <c r="A138" s="40"/>
      <c r="B138" s="232">
        <f t="shared" si="16"/>
        <v>10.039999999999999</v>
      </c>
      <c r="C138" s="233" t="str">
        <f>Community!B15</f>
        <v>Open Tree Map</v>
      </c>
      <c r="D138" s="189"/>
      <c r="E138" s="189"/>
      <c r="F138" s="189"/>
      <c r="G138" s="196"/>
      <c r="H138" s="189"/>
      <c r="I138" s="208"/>
      <c r="J138" s="209"/>
      <c r="K138" s="209"/>
      <c r="L138" s="209"/>
      <c r="M138" s="209"/>
      <c r="N138" s="209"/>
      <c r="O138" s="209"/>
      <c r="P138" s="209"/>
      <c r="Q138" s="209"/>
      <c r="R138" s="210"/>
    </row>
    <row r="139" spans="1:18" ht="18" hidden="1" customHeight="1" outlineLevel="1" x14ac:dyDescent="0.3">
      <c r="A139" s="40"/>
      <c r="B139" s="232">
        <f t="shared" si="16"/>
        <v>10.049999999999999</v>
      </c>
      <c r="C139" s="233" t="str">
        <f>Community!B16</f>
        <v>Public Perception</v>
      </c>
      <c r="D139" s="189"/>
      <c r="E139" s="189"/>
      <c r="F139" s="189"/>
      <c r="G139" s="196"/>
      <c r="H139" s="189"/>
      <c r="I139" s="208"/>
      <c r="J139" s="209"/>
      <c r="K139" s="209"/>
      <c r="L139" s="209"/>
      <c r="M139" s="209"/>
      <c r="N139" s="209"/>
      <c r="O139" s="209"/>
      <c r="P139" s="209"/>
      <c r="Q139" s="209"/>
      <c r="R139" s="210">
        <v>0</v>
      </c>
    </row>
    <row r="140" spans="1:18" ht="18" hidden="1" customHeight="1" outlineLevel="1" x14ac:dyDescent="0.3">
      <c r="A140" s="40"/>
      <c r="B140" s="232">
        <f t="shared" si="16"/>
        <v>10.059999999999999</v>
      </c>
      <c r="C140" s="233" t="str">
        <f>Community!B17</f>
        <v>Recognition Programs</v>
      </c>
      <c r="D140" s="189"/>
      <c r="E140" s="189"/>
      <c r="F140" s="189"/>
      <c r="G140" s="196"/>
      <c r="H140" s="189"/>
      <c r="I140" s="208"/>
      <c r="J140" s="209"/>
      <c r="K140" s="209"/>
      <c r="L140" s="209"/>
      <c r="M140" s="209"/>
      <c r="N140" s="209"/>
      <c r="O140" s="209"/>
      <c r="P140" s="209"/>
      <c r="Q140" s="209"/>
      <c r="R140" s="210"/>
    </row>
    <row r="141" spans="1:18" ht="18" hidden="1" customHeight="1" outlineLevel="1" x14ac:dyDescent="0.3">
      <c r="A141" s="40"/>
      <c r="B141" s="232">
        <f t="shared" si="16"/>
        <v>10.069999999999999</v>
      </c>
      <c r="C141" s="233" t="str">
        <f>Community!B18</f>
        <v>Arbor Day Celebration</v>
      </c>
      <c r="D141" s="189"/>
      <c r="E141" s="189"/>
      <c r="F141" s="189"/>
      <c r="G141" s="196"/>
      <c r="H141" s="189"/>
      <c r="I141" s="208" t="s">
        <v>433</v>
      </c>
      <c r="J141" s="209" t="s">
        <v>433</v>
      </c>
      <c r="K141" s="209" t="s">
        <v>433</v>
      </c>
      <c r="L141" s="209" t="s">
        <v>433</v>
      </c>
      <c r="M141" s="209" t="s">
        <v>433</v>
      </c>
      <c r="N141" s="209" t="s">
        <v>433</v>
      </c>
      <c r="O141" s="209" t="s">
        <v>433</v>
      </c>
      <c r="P141" s="209" t="s">
        <v>433</v>
      </c>
      <c r="Q141" s="209" t="s">
        <v>433</v>
      </c>
      <c r="R141" s="210">
        <v>0</v>
      </c>
    </row>
    <row r="142" spans="1:18" ht="18" hidden="1" customHeight="1" outlineLevel="1" x14ac:dyDescent="0.3">
      <c r="A142" s="40"/>
      <c r="B142" s="232">
        <f t="shared" si="16"/>
        <v>10.079999999999998</v>
      </c>
      <c r="C142" s="233" t="str">
        <f>Community!B19</f>
        <v>Arboretum designation</v>
      </c>
      <c r="D142" s="189"/>
      <c r="E142" s="189"/>
      <c r="F142" s="189"/>
      <c r="G142" s="196"/>
      <c r="H142" s="189"/>
      <c r="I142" s="208"/>
      <c r="J142" s="209"/>
      <c r="K142" s="209"/>
      <c r="L142" s="209"/>
      <c r="M142" s="209"/>
      <c r="N142" s="209"/>
      <c r="O142" s="209"/>
      <c r="P142" s="209"/>
      <c r="Q142" s="209"/>
      <c r="R142" s="210">
        <v>0</v>
      </c>
    </row>
    <row r="143" spans="1:18" ht="18" hidden="1" customHeight="1" outlineLevel="1" x14ac:dyDescent="0.3">
      <c r="A143" s="40"/>
      <c r="B143" s="232">
        <f t="shared" si="16"/>
        <v>10.089999999999998</v>
      </c>
      <c r="C143" s="233" t="str">
        <f>Community!B20</f>
        <v>Significant trees</v>
      </c>
      <c r="D143" s="189"/>
      <c r="E143" s="189"/>
      <c r="F143" s="189"/>
      <c r="G143" s="196"/>
      <c r="H143" s="189"/>
      <c r="I143" s="208"/>
      <c r="J143" s="209"/>
      <c r="K143" s="209"/>
      <c r="L143" s="209"/>
      <c r="M143" s="209"/>
      <c r="N143" s="209"/>
      <c r="O143" s="209"/>
      <c r="P143" s="209"/>
      <c r="Q143" s="209"/>
      <c r="R143" s="210">
        <v>0</v>
      </c>
    </row>
    <row r="144" spans="1:18" ht="18" hidden="1" customHeight="1" outlineLevel="1" x14ac:dyDescent="0.3">
      <c r="A144" s="40"/>
      <c r="B144" s="232">
        <f t="shared" si="16"/>
        <v>10.099999999999998</v>
      </c>
      <c r="C144" s="233" t="str">
        <f>Community!B21</f>
        <v>Memorial/Honorarium</v>
      </c>
      <c r="D144" s="189"/>
      <c r="E144" s="189"/>
      <c r="F144" s="189"/>
      <c r="G144" s="196"/>
      <c r="H144" s="189"/>
      <c r="I144" s="208"/>
      <c r="J144" s="209"/>
      <c r="K144" s="209"/>
      <c r="L144" s="209"/>
      <c r="M144" s="209"/>
      <c r="N144" s="209"/>
      <c r="O144" s="209"/>
      <c r="P144" s="209"/>
      <c r="Q144" s="209"/>
      <c r="R144" s="210">
        <v>0</v>
      </c>
    </row>
    <row r="145" spans="1:18" ht="18" hidden="1" customHeight="1" outlineLevel="1" x14ac:dyDescent="0.3">
      <c r="A145" s="40"/>
      <c r="B145" s="232">
        <f t="shared" si="16"/>
        <v>10.109999999999998</v>
      </c>
      <c r="C145" s="233" t="str">
        <f>Community!B22</f>
        <v>Social Media</v>
      </c>
      <c r="D145" s="189"/>
      <c r="E145" s="189"/>
      <c r="F145" s="189"/>
      <c r="G145" s="196"/>
      <c r="H145" s="189"/>
      <c r="I145" s="208"/>
      <c r="J145" s="209"/>
      <c r="K145" s="209"/>
      <c r="L145" s="209"/>
      <c r="M145" s="209"/>
      <c r="N145" s="209"/>
      <c r="O145" s="209"/>
      <c r="P145" s="209"/>
      <c r="Q145" s="209"/>
      <c r="R145" s="210"/>
    </row>
    <row r="146" spans="1:18" ht="18" hidden="1" customHeight="1" outlineLevel="1" x14ac:dyDescent="0.3">
      <c r="A146" s="40"/>
      <c r="B146" s="232">
        <f t="shared" si="16"/>
        <v>10.119999999999997</v>
      </c>
      <c r="C146" s="233" t="str">
        <f>Community!B23</f>
        <v>Active Communications</v>
      </c>
      <c r="D146" s="189"/>
      <c r="E146" s="189"/>
      <c r="F146" s="189"/>
      <c r="G146" s="196"/>
      <c r="H146" s="189"/>
      <c r="I146" s="208"/>
      <c r="J146" s="209"/>
      <c r="K146" s="209"/>
      <c r="L146" s="209"/>
      <c r="M146" s="209"/>
      <c r="N146" s="209"/>
      <c r="O146" s="209"/>
      <c r="P146" s="209"/>
      <c r="Q146" s="209"/>
      <c r="R146" s="210">
        <v>0</v>
      </c>
    </row>
    <row r="147" spans="1:18" ht="18" hidden="1" customHeight="1" outlineLevel="1" x14ac:dyDescent="0.3">
      <c r="A147" s="40"/>
      <c r="B147" s="232">
        <f t="shared" si="16"/>
        <v>10.129999999999997</v>
      </c>
      <c r="C147" s="233" t="str">
        <f>Community!B24</f>
        <v>Tree Care</v>
      </c>
      <c r="D147" s="189"/>
      <c r="E147" s="189"/>
      <c r="F147" s="189"/>
      <c r="G147" s="196"/>
      <c r="H147" s="189"/>
      <c r="I147" s="208"/>
      <c r="J147" s="209"/>
      <c r="K147" s="209"/>
      <c r="L147" s="209"/>
      <c r="M147" s="209"/>
      <c r="N147" s="209"/>
      <c r="O147" s="209"/>
      <c r="P147" s="209"/>
      <c r="Q147" s="209"/>
      <c r="R147" s="210">
        <v>0</v>
      </c>
    </row>
    <row r="148" spans="1:18" ht="18" hidden="1" customHeight="1" outlineLevel="1" x14ac:dyDescent="0.3">
      <c r="A148" s="40"/>
      <c r="B148" s="232">
        <f t="shared" si="16"/>
        <v>10.139999999999997</v>
      </c>
      <c r="C148" s="233" t="str">
        <f>Community!B25</f>
        <v>Tree Campus USA®, Tree City USA®, Tree Line USA®</v>
      </c>
      <c r="D148" s="189"/>
      <c r="E148" s="189"/>
      <c r="F148" s="189"/>
      <c r="G148" s="196"/>
      <c r="H148" s="189"/>
      <c r="I148" s="208" t="s">
        <v>433</v>
      </c>
      <c r="J148" s="209" t="s">
        <v>433</v>
      </c>
      <c r="K148" s="209" t="s">
        <v>433</v>
      </c>
      <c r="L148" s="209" t="s">
        <v>433</v>
      </c>
      <c r="M148" s="209" t="s">
        <v>433</v>
      </c>
      <c r="N148" s="209" t="s">
        <v>433</v>
      </c>
      <c r="O148" s="209" t="s">
        <v>433</v>
      </c>
      <c r="P148" s="209" t="s">
        <v>433</v>
      </c>
      <c r="Q148" s="209" t="s">
        <v>433</v>
      </c>
      <c r="R148" s="210">
        <v>0</v>
      </c>
    </row>
    <row r="149" spans="1:18" ht="18" hidden="1" customHeight="1" outlineLevel="1" x14ac:dyDescent="0.3">
      <c r="A149" s="40"/>
      <c r="B149" s="232">
        <f t="shared" si="16"/>
        <v>10.149999999999997</v>
      </c>
      <c r="C149" s="233" t="str">
        <f>Community!B26</f>
        <v>Volunteer Opportunities</v>
      </c>
      <c r="D149" s="189"/>
      <c r="E149" s="189"/>
      <c r="F149" s="189"/>
      <c r="G149" s="196"/>
      <c r="H149" s="189"/>
      <c r="I149" s="208" t="s">
        <v>433</v>
      </c>
      <c r="J149" s="209" t="s">
        <v>433</v>
      </c>
      <c r="K149" s="209" t="s">
        <v>433</v>
      </c>
      <c r="L149" s="209" t="s">
        <v>433</v>
      </c>
      <c r="M149" s="209" t="s">
        <v>433</v>
      </c>
      <c r="N149" s="209" t="s">
        <v>433</v>
      </c>
      <c r="O149" s="209" t="s">
        <v>433</v>
      </c>
      <c r="P149" s="209" t="s">
        <v>433</v>
      </c>
      <c r="Q149" s="209" t="s">
        <v>433</v>
      </c>
      <c r="R149" s="210">
        <v>0</v>
      </c>
    </row>
    <row r="150" spans="1:18" ht="18" customHeight="1" collapsed="1" x14ac:dyDescent="0.3">
      <c r="A150" s="40"/>
      <c r="G150" s="233"/>
      <c r="I150" s="234" t="s">
        <v>404</v>
      </c>
      <c r="J150" s="235" t="s">
        <v>405</v>
      </c>
      <c r="K150" s="235" t="s">
        <v>406</v>
      </c>
      <c r="L150" s="235" t="s">
        <v>84</v>
      </c>
      <c r="M150" s="235" t="s">
        <v>85</v>
      </c>
      <c r="N150" s="235" t="s">
        <v>407</v>
      </c>
      <c r="O150" s="235" t="s">
        <v>408</v>
      </c>
      <c r="P150" s="235" t="s">
        <v>409</v>
      </c>
      <c r="Q150" s="235" t="s">
        <v>410</v>
      </c>
      <c r="R150" s="236" t="s">
        <v>89</v>
      </c>
    </row>
    <row r="151" spans="1:18" ht="18" customHeight="1" x14ac:dyDescent="0.3">
      <c r="A151" s="40"/>
      <c r="G151" s="233"/>
      <c r="I151" s="268" t="s">
        <v>403</v>
      </c>
      <c r="J151" s="269"/>
      <c r="K151" s="269"/>
      <c r="L151" s="269"/>
      <c r="M151" s="269"/>
      <c r="N151" s="269"/>
      <c r="O151" s="269"/>
      <c r="P151" s="269"/>
      <c r="Q151" s="269"/>
      <c r="R151" s="270"/>
    </row>
    <row r="152" spans="1:18" x14ac:dyDescent="0.3">
      <c r="G152" s="233"/>
    </row>
    <row r="153" spans="1:18" x14ac:dyDescent="0.3">
      <c r="G153" s="233"/>
    </row>
    <row r="154" spans="1:18" x14ac:dyDescent="0.3">
      <c r="B154" s="5" t="s">
        <v>426</v>
      </c>
      <c r="G154" s="18"/>
    </row>
    <row r="155" spans="1:18" x14ac:dyDescent="0.3">
      <c r="B155" s="237" t="s">
        <v>504</v>
      </c>
      <c r="G155" s="18"/>
    </row>
    <row r="156" spans="1:18" x14ac:dyDescent="0.3">
      <c r="B156" s="237" t="s">
        <v>505</v>
      </c>
      <c r="G156" s="18"/>
    </row>
    <row r="158" spans="1:18" x14ac:dyDescent="0.3">
      <c r="A158" s="258" t="str">
        <f>About!A1</f>
        <v>Urban Forest Sustainability and Management Review (v6.6a Austin)</v>
      </c>
      <c r="B158" s="258"/>
      <c r="C158" s="258"/>
      <c r="D158" s="258"/>
      <c r="E158" s="258"/>
      <c r="F158" s="258"/>
      <c r="G158" s="258"/>
      <c r="H158" s="258"/>
      <c r="I158" s="258"/>
      <c r="J158" s="258"/>
      <c r="K158" s="258"/>
      <c r="L158" s="258"/>
      <c r="M158" s="258"/>
      <c r="N158" s="258"/>
      <c r="O158" s="258"/>
      <c r="P158" s="258"/>
      <c r="Q158" s="258"/>
      <c r="R158" s="258"/>
    </row>
    <row r="159" spans="1:18" x14ac:dyDescent="0.3">
      <c r="A159" s="258"/>
      <c r="B159" s="258"/>
      <c r="C159" s="258"/>
      <c r="D159" s="258"/>
      <c r="E159" s="258"/>
      <c r="F159" s="258"/>
      <c r="G159" s="258"/>
      <c r="H159" s="258"/>
      <c r="I159" s="258"/>
      <c r="J159" s="258"/>
      <c r="K159" s="258"/>
      <c r="L159" s="258"/>
      <c r="M159" s="258"/>
      <c r="N159" s="258"/>
      <c r="O159" s="258"/>
      <c r="P159" s="258"/>
      <c r="Q159" s="258"/>
      <c r="R159" s="258"/>
    </row>
  </sheetData>
  <mergeCells count="61">
    <mergeCell ref="D30:E30"/>
    <mergeCell ref="F30:H30"/>
    <mergeCell ref="D31:E31"/>
    <mergeCell ref="F31:H31"/>
    <mergeCell ref="D41:E41"/>
    <mergeCell ref="F41:H41"/>
    <mergeCell ref="F39:H39"/>
    <mergeCell ref="F40:H40"/>
    <mergeCell ref="D36:E36"/>
    <mergeCell ref="D37:E37"/>
    <mergeCell ref="D38:E38"/>
    <mergeCell ref="D39:E39"/>
    <mergeCell ref="D40:E40"/>
    <mergeCell ref="D35:E35"/>
    <mergeCell ref="F42:H42"/>
    <mergeCell ref="I151:R151"/>
    <mergeCell ref="I15:R15"/>
    <mergeCell ref="F34:H34"/>
    <mergeCell ref="F35:H35"/>
    <mergeCell ref="F36:H36"/>
    <mergeCell ref="F37:H37"/>
    <mergeCell ref="F38:H38"/>
    <mergeCell ref="G15:H15"/>
    <mergeCell ref="F20:H20"/>
    <mergeCell ref="F21:H21"/>
    <mergeCell ref="F22:H22"/>
    <mergeCell ref="F23:H23"/>
    <mergeCell ref="F24:H24"/>
    <mergeCell ref="F29:H29"/>
    <mergeCell ref="D42:E42"/>
    <mergeCell ref="H158:N159"/>
    <mergeCell ref="O158:R159"/>
    <mergeCell ref="F18:H18"/>
    <mergeCell ref="F32:H32"/>
    <mergeCell ref="D18:E18"/>
    <mergeCell ref="D32:E32"/>
    <mergeCell ref="D34:E34"/>
    <mergeCell ref="A158:G159"/>
    <mergeCell ref="D28:E28"/>
    <mergeCell ref="D29:E29"/>
    <mergeCell ref="D25:E25"/>
    <mergeCell ref="D26:E26"/>
    <mergeCell ref="D27:E27"/>
    <mergeCell ref="D24:E24"/>
    <mergeCell ref="F28:H28"/>
    <mergeCell ref="D16:E16"/>
    <mergeCell ref="F16:G16"/>
    <mergeCell ref="D17:E17"/>
    <mergeCell ref="F17:H17"/>
    <mergeCell ref="D19:E19"/>
    <mergeCell ref="F19:H19"/>
    <mergeCell ref="D20:E20"/>
    <mergeCell ref="D21:E21"/>
    <mergeCell ref="D22:E22"/>
    <mergeCell ref="D23:E23"/>
    <mergeCell ref="F25:H25"/>
    <mergeCell ref="I14:R14"/>
    <mergeCell ref="I12:T12"/>
    <mergeCell ref="I13:T13"/>
    <mergeCell ref="F26:H26"/>
    <mergeCell ref="F27:H27"/>
  </mergeCells>
  <conditionalFormatting sqref="I17:R17">
    <cfRule type="cellIs" dxfId="9" priority="11" operator="equal">
      <formula>0</formula>
    </cfRule>
  </conditionalFormatting>
  <conditionalFormatting sqref="I43:R43">
    <cfRule type="cellIs" dxfId="8" priority="10" operator="equal">
      <formula>0</formula>
    </cfRule>
  </conditionalFormatting>
  <conditionalFormatting sqref="I50:R50">
    <cfRule type="cellIs" dxfId="7" priority="8" operator="equal">
      <formula>0</formula>
    </cfRule>
  </conditionalFormatting>
  <conditionalFormatting sqref="I55:R55">
    <cfRule type="cellIs" dxfId="6" priority="7" operator="equal">
      <formula>0</formula>
    </cfRule>
  </conditionalFormatting>
  <conditionalFormatting sqref="I71:R71">
    <cfRule type="cellIs" dxfId="5" priority="6" operator="equal">
      <formula>0</formula>
    </cfRule>
  </conditionalFormatting>
  <conditionalFormatting sqref="I86:R86">
    <cfRule type="cellIs" dxfId="4" priority="5" operator="equal">
      <formula>0</formula>
    </cfRule>
  </conditionalFormatting>
  <conditionalFormatting sqref="I96:R96">
    <cfRule type="cellIs" dxfId="3" priority="4" operator="equal">
      <formula>0</formula>
    </cfRule>
  </conditionalFormatting>
  <conditionalFormatting sqref="I104:R104">
    <cfRule type="cellIs" dxfId="2" priority="3" operator="equal">
      <formula>0</formula>
    </cfRule>
  </conditionalFormatting>
  <conditionalFormatting sqref="I134:R134">
    <cfRule type="cellIs" dxfId="1" priority="2" operator="equal">
      <formula>0</formula>
    </cfRule>
  </conditionalFormatting>
  <conditionalFormatting sqref="I33:R33">
    <cfRule type="cellIs" dxfId="0" priority="1" operator="equal">
      <formula>0</formula>
    </cfRule>
  </conditionalFormatting>
  <hyperlinks>
    <hyperlink ref="R4" location="'TOC - Quick Access'!A1" display="Return to TOC"/>
  </hyperlink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65"/>
  <sheetViews>
    <sheetView zoomScale="66" zoomScaleNormal="66" workbookViewId="0">
      <selection sqref="A1:E2"/>
    </sheetView>
  </sheetViews>
  <sheetFormatPr defaultColWidth="9.109375" defaultRowHeight="14.4" x14ac:dyDescent="0.3"/>
  <cols>
    <col min="1" max="1" width="11" style="5" customWidth="1"/>
    <col min="2" max="2" width="36.109375" style="5" customWidth="1"/>
    <col min="3" max="3" width="54.88671875" style="5" customWidth="1"/>
    <col min="4" max="4" width="27.6640625" style="5" customWidth="1"/>
    <col min="5" max="5" width="39.88671875" style="5" customWidth="1"/>
    <col min="6" max="6" width="4.44140625" style="5" customWidth="1"/>
    <col min="7" max="7" width="28.109375" style="5" customWidth="1"/>
    <col min="8" max="8" width="11.77734375" style="11" customWidth="1"/>
    <col min="9" max="9" width="9.44140625" style="11" customWidth="1"/>
    <col min="10" max="10" width="7.44140625" style="11" customWidth="1"/>
    <col min="11" max="11" width="9.6640625" style="11" customWidth="1"/>
    <col min="12" max="12" width="11.109375" style="5" customWidth="1"/>
    <col min="13" max="13" width="14.6640625" style="5" customWidth="1"/>
    <col min="14" max="16384" width="9.109375" style="5"/>
  </cols>
  <sheetData>
    <row r="1" spans="1:14" x14ac:dyDescent="0.3">
      <c r="A1" s="256" t="str">
        <f>About!A1</f>
        <v>Urban Forest Sustainability and Management Review (v6.6a Austin)</v>
      </c>
      <c r="B1" s="257"/>
      <c r="C1" s="257"/>
      <c r="D1" s="257"/>
      <c r="E1" s="257"/>
      <c r="F1" s="302"/>
      <c r="G1" s="302"/>
      <c r="H1" s="302"/>
      <c r="I1" s="302"/>
      <c r="J1" s="302"/>
      <c r="K1" s="302"/>
      <c r="L1" s="302"/>
      <c r="M1" s="302"/>
    </row>
    <row r="2" spans="1:14" x14ac:dyDescent="0.3">
      <c r="A2" s="257"/>
      <c r="B2" s="257"/>
      <c r="C2" s="257"/>
      <c r="D2" s="257"/>
      <c r="E2" s="257"/>
      <c r="F2" s="302"/>
      <c r="G2" s="302"/>
      <c r="H2" s="302"/>
      <c r="I2" s="302"/>
      <c r="J2" s="302"/>
      <c r="K2" s="302"/>
      <c r="L2" s="302"/>
      <c r="M2" s="302"/>
    </row>
    <row r="3" spans="1:14" x14ac:dyDescent="0.3">
      <c r="C3" s="9"/>
      <c r="D3" s="10"/>
    </row>
    <row r="4" spans="1:14" ht="24" customHeight="1" x14ac:dyDescent="0.3">
      <c r="A4" s="12"/>
      <c r="B4" s="69" t="s">
        <v>31</v>
      </c>
      <c r="C4" s="71" t="str">
        <f>'Review Information'!C6</f>
        <v xml:space="preserve">&lt; enter the name of the city or college &gt; </v>
      </c>
      <c r="D4" s="69" t="s">
        <v>30</v>
      </c>
      <c r="E4" s="71" t="str">
        <f>'Review Information'!E6</f>
        <v>&lt; enter arborist here &gt;</v>
      </c>
      <c r="L4" s="11"/>
      <c r="M4" s="46" t="s">
        <v>115</v>
      </c>
    </row>
    <row r="5" spans="1:14" ht="24" customHeight="1" x14ac:dyDescent="0.3">
      <c r="A5" s="12"/>
      <c r="B5" s="69" t="s">
        <v>0</v>
      </c>
      <c r="C5" s="71" t="str">
        <f>'Review Information'!C7</f>
        <v>&lt; enter the team leaders name here &gt;</v>
      </c>
      <c r="D5" s="69" t="s">
        <v>29</v>
      </c>
      <c r="E5" s="73">
        <f>'Review Information'!E7</f>
        <v>42625</v>
      </c>
    </row>
    <row r="6" spans="1:14" ht="24" customHeight="1" x14ac:dyDescent="0.3">
      <c r="A6" s="12"/>
      <c r="B6" s="69" t="s">
        <v>32</v>
      </c>
      <c r="C6" s="71" t="str">
        <f>'Review Information'!C8</f>
        <v>5) Municipality</v>
      </c>
      <c r="D6" s="69"/>
      <c r="E6" s="73"/>
    </row>
    <row r="7" spans="1:14" x14ac:dyDescent="0.3">
      <c r="C7" s="9"/>
      <c r="D7" s="10"/>
    </row>
    <row r="8" spans="1:14" ht="24" customHeight="1" x14ac:dyDescent="0.3">
      <c r="A8" s="13">
        <v>1</v>
      </c>
      <c r="B8" s="66" t="s">
        <v>54</v>
      </c>
    </row>
    <row r="9" spans="1:14" ht="18" customHeight="1" x14ac:dyDescent="0.3">
      <c r="A9" s="14"/>
      <c r="H9" s="15" t="s">
        <v>106</v>
      </c>
      <c r="I9" s="16"/>
      <c r="J9" s="16"/>
      <c r="K9" s="16"/>
      <c r="L9" s="17"/>
      <c r="M9" s="17"/>
      <c r="N9" s="136"/>
    </row>
    <row r="10" spans="1:14" s="7" customFormat="1" ht="24" customHeight="1" x14ac:dyDescent="0.3">
      <c r="A10" s="98" t="s">
        <v>66</v>
      </c>
      <c r="B10" s="85" t="s">
        <v>67</v>
      </c>
      <c r="C10" s="104" t="s">
        <v>1</v>
      </c>
      <c r="D10" s="105" t="s">
        <v>2</v>
      </c>
      <c r="E10" s="109" t="s">
        <v>3</v>
      </c>
      <c r="H10" s="20" t="s">
        <v>58</v>
      </c>
      <c r="I10" s="20" t="s">
        <v>109</v>
      </c>
      <c r="J10" s="20" t="s">
        <v>63</v>
      </c>
      <c r="K10" s="20" t="s">
        <v>57</v>
      </c>
      <c r="L10" s="20" t="s">
        <v>56</v>
      </c>
      <c r="M10" s="20" t="s">
        <v>110</v>
      </c>
    </row>
    <row r="11" spans="1:14" ht="24" customHeight="1" thickBot="1" x14ac:dyDescent="0.35">
      <c r="A11" s="21">
        <f>A8</f>
        <v>1</v>
      </c>
      <c r="B11" s="22" t="s">
        <v>4</v>
      </c>
      <c r="C11" s="22" t="s">
        <v>5</v>
      </c>
      <c r="D11" s="23"/>
      <c r="E11" s="24"/>
    </row>
    <row r="12" spans="1:14" ht="53.25" customHeight="1" thickTop="1" thickBot="1" x14ac:dyDescent="0.35">
      <c r="A12" s="21">
        <f>$A$8 + (ROW()-11)/100</f>
        <v>1.01</v>
      </c>
      <c r="B12" s="28" t="s">
        <v>6</v>
      </c>
      <c r="C12" s="23" t="s">
        <v>34</v>
      </c>
      <c r="D12" s="29"/>
      <c r="E12" s="3" t="s">
        <v>37</v>
      </c>
      <c r="H12" s="6">
        <v>0</v>
      </c>
      <c r="I12" s="6">
        <v>0</v>
      </c>
      <c r="J12" s="6">
        <v>0</v>
      </c>
      <c r="K12" s="6">
        <v>0</v>
      </c>
      <c r="L12" s="6">
        <v>1</v>
      </c>
      <c r="M12" s="6">
        <v>0</v>
      </c>
    </row>
    <row r="13" spans="1:14" ht="24" customHeight="1" thickTop="1" thickBot="1" x14ac:dyDescent="0.35">
      <c r="A13" s="21">
        <f t="shared" ref="A13:A25" si="0">$A$8 + (ROW()-11)/100</f>
        <v>1.02</v>
      </c>
      <c r="B13" s="30" t="s">
        <v>7</v>
      </c>
      <c r="C13" s="31" t="s">
        <v>8</v>
      </c>
      <c r="D13" s="61"/>
      <c r="E13" s="49" t="s">
        <v>37</v>
      </c>
      <c r="H13" s="6">
        <v>0</v>
      </c>
      <c r="I13" s="6">
        <v>0</v>
      </c>
      <c r="J13" s="6">
        <v>0</v>
      </c>
      <c r="K13" s="6">
        <v>0</v>
      </c>
      <c r="L13" s="6">
        <v>1</v>
      </c>
      <c r="M13" s="6">
        <v>0</v>
      </c>
    </row>
    <row r="14" spans="1:14" ht="36.75" customHeight="1" thickTop="1" thickBot="1" x14ac:dyDescent="0.35">
      <c r="A14" s="21">
        <f t="shared" si="0"/>
        <v>1.03</v>
      </c>
      <c r="B14" s="32" t="s">
        <v>9</v>
      </c>
      <c r="C14" s="33" t="s">
        <v>10</v>
      </c>
      <c r="D14" s="34"/>
      <c r="E14" s="49" t="s">
        <v>37</v>
      </c>
      <c r="H14" s="6">
        <v>0</v>
      </c>
      <c r="I14" s="6">
        <v>0</v>
      </c>
      <c r="J14" s="6">
        <v>0</v>
      </c>
      <c r="K14" s="6">
        <v>0</v>
      </c>
      <c r="L14" s="6">
        <v>1</v>
      </c>
      <c r="M14" s="6">
        <v>0</v>
      </c>
    </row>
    <row r="15" spans="1:14" ht="24" customHeight="1" thickTop="1" thickBot="1" x14ac:dyDescent="0.35">
      <c r="A15" s="21">
        <f t="shared" si="0"/>
        <v>1.04</v>
      </c>
      <c r="B15" s="30" t="s">
        <v>11</v>
      </c>
      <c r="C15" s="31" t="s">
        <v>12</v>
      </c>
      <c r="D15" s="35"/>
      <c r="E15" s="49" t="s">
        <v>37</v>
      </c>
      <c r="H15" s="6">
        <v>0</v>
      </c>
      <c r="I15" s="6">
        <v>0</v>
      </c>
      <c r="J15" s="6">
        <v>0</v>
      </c>
      <c r="K15" s="6">
        <v>0</v>
      </c>
      <c r="L15" s="6">
        <v>1</v>
      </c>
      <c r="M15" s="6">
        <v>0</v>
      </c>
    </row>
    <row r="16" spans="1:14" ht="24" customHeight="1" thickTop="1" thickBot="1" x14ac:dyDescent="0.35">
      <c r="A16" s="21">
        <f t="shared" si="0"/>
        <v>1.05</v>
      </c>
      <c r="B16" s="28" t="s">
        <v>13</v>
      </c>
      <c r="C16" s="22" t="s">
        <v>14</v>
      </c>
      <c r="D16" s="29"/>
      <c r="E16" s="49" t="s">
        <v>37</v>
      </c>
      <c r="H16" s="6">
        <v>0</v>
      </c>
      <c r="I16" s="6">
        <v>0</v>
      </c>
      <c r="J16" s="6">
        <v>0</v>
      </c>
      <c r="K16" s="6">
        <v>0</v>
      </c>
      <c r="L16" s="6">
        <v>1</v>
      </c>
      <c r="M16" s="6">
        <v>0</v>
      </c>
    </row>
    <row r="17" spans="1:13" ht="37.5" customHeight="1" thickTop="1" thickBot="1" x14ac:dyDescent="0.35">
      <c r="A17" s="21">
        <f t="shared" si="0"/>
        <v>1.06</v>
      </c>
      <c r="B17" s="30" t="s">
        <v>15</v>
      </c>
      <c r="C17" s="31" t="s">
        <v>16</v>
      </c>
      <c r="D17" s="35"/>
      <c r="E17" s="49" t="s">
        <v>37</v>
      </c>
      <c r="H17" s="6">
        <v>0</v>
      </c>
      <c r="I17" s="6">
        <v>0</v>
      </c>
      <c r="J17" s="6">
        <v>0</v>
      </c>
      <c r="K17" s="6">
        <v>0</v>
      </c>
      <c r="L17" s="6">
        <v>1</v>
      </c>
      <c r="M17" s="6">
        <v>0</v>
      </c>
    </row>
    <row r="18" spans="1:13" ht="80.099999999999994" customHeight="1" thickTop="1" thickBot="1" x14ac:dyDescent="0.35">
      <c r="A18" s="59">
        <f t="shared" si="0"/>
        <v>1.07</v>
      </c>
      <c r="B18" s="60" t="s">
        <v>17</v>
      </c>
      <c r="C18" s="58" t="s">
        <v>33</v>
      </c>
      <c r="D18" s="62" t="s">
        <v>53</v>
      </c>
      <c r="E18" s="49" t="s">
        <v>37</v>
      </c>
      <c r="H18" s="6">
        <v>0</v>
      </c>
      <c r="I18" s="6">
        <v>0</v>
      </c>
      <c r="J18" s="6">
        <v>0</v>
      </c>
      <c r="K18" s="6">
        <v>0</v>
      </c>
      <c r="L18" s="6">
        <v>1</v>
      </c>
      <c r="M18" s="6">
        <v>0</v>
      </c>
    </row>
    <row r="19" spans="1:13" ht="24" customHeight="1" thickTop="1" thickBot="1" x14ac:dyDescent="0.35">
      <c r="A19" s="21">
        <f t="shared" si="0"/>
        <v>1.08</v>
      </c>
      <c r="B19" s="28" t="s">
        <v>18</v>
      </c>
      <c r="C19" s="22" t="s">
        <v>19</v>
      </c>
      <c r="D19" s="29"/>
      <c r="E19" s="49" t="s">
        <v>37</v>
      </c>
      <c r="H19" s="6">
        <v>0</v>
      </c>
      <c r="I19" s="6">
        <v>0</v>
      </c>
      <c r="J19" s="6">
        <v>0</v>
      </c>
      <c r="K19" s="6">
        <v>0</v>
      </c>
      <c r="L19" s="6">
        <v>1</v>
      </c>
      <c r="M19" s="6">
        <v>0</v>
      </c>
    </row>
    <row r="20" spans="1:13" ht="47.25" customHeight="1" thickTop="1" thickBot="1" x14ac:dyDescent="0.35">
      <c r="A20" s="21">
        <f t="shared" si="0"/>
        <v>1.0900000000000001</v>
      </c>
      <c r="B20" s="28" t="s">
        <v>20</v>
      </c>
      <c r="C20" s="22" t="s">
        <v>21</v>
      </c>
      <c r="D20" s="29" t="s">
        <v>22</v>
      </c>
      <c r="E20" s="49" t="s">
        <v>37</v>
      </c>
      <c r="H20" s="6">
        <v>0</v>
      </c>
      <c r="I20" s="6">
        <v>0</v>
      </c>
      <c r="J20" s="6">
        <v>0</v>
      </c>
      <c r="K20" s="6">
        <v>0</v>
      </c>
      <c r="L20" s="6">
        <v>1</v>
      </c>
      <c r="M20" s="6">
        <v>0</v>
      </c>
    </row>
    <row r="21" spans="1:13" ht="37.5" customHeight="1" thickTop="1" thickBot="1" x14ac:dyDescent="0.35">
      <c r="A21" s="21">
        <f t="shared" si="0"/>
        <v>1.1000000000000001</v>
      </c>
      <c r="B21" s="36" t="s">
        <v>59</v>
      </c>
      <c r="C21" s="22" t="s">
        <v>23</v>
      </c>
      <c r="D21" s="29"/>
      <c r="E21" s="49" t="s">
        <v>37</v>
      </c>
      <c r="H21" s="6">
        <v>0</v>
      </c>
      <c r="I21" s="6">
        <v>0</v>
      </c>
      <c r="J21" s="6">
        <v>0</v>
      </c>
      <c r="K21" s="6">
        <v>0</v>
      </c>
      <c r="L21" s="6">
        <v>1</v>
      </c>
      <c r="M21" s="6">
        <v>0</v>
      </c>
    </row>
    <row r="22" spans="1:13" ht="28.5" customHeight="1" thickTop="1" thickBot="1" x14ac:dyDescent="0.35">
      <c r="A22" s="21">
        <f t="shared" si="0"/>
        <v>1.1100000000000001</v>
      </c>
      <c r="B22" s="33" t="s">
        <v>386</v>
      </c>
      <c r="C22" s="33" t="s">
        <v>24</v>
      </c>
      <c r="D22" s="34"/>
      <c r="E22" s="49" t="s">
        <v>37</v>
      </c>
      <c r="H22" s="6">
        <v>0</v>
      </c>
      <c r="I22" s="6">
        <v>0</v>
      </c>
      <c r="J22" s="6">
        <v>0</v>
      </c>
      <c r="K22" s="6">
        <v>0</v>
      </c>
      <c r="L22" s="6">
        <v>1</v>
      </c>
      <c r="M22" s="6">
        <v>0</v>
      </c>
    </row>
    <row r="23" spans="1:13" ht="90" customHeight="1" thickTop="1" thickBot="1" x14ac:dyDescent="0.35">
      <c r="A23" s="21">
        <f t="shared" si="0"/>
        <v>1.1200000000000001</v>
      </c>
      <c r="B23" s="22" t="s">
        <v>25</v>
      </c>
      <c r="C23" s="58" t="s">
        <v>44</v>
      </c>
      <c r="D23" s="62" t="s">
        <v>26</v>
      </c>
      <c r="E23" s="49" t="s">
        <v>37</v>
      </c>
      <c r="H23" s="6">
        <v>0</v>
      </c>
      <c r="I23" s="6">
        <v>0</v>
      </c>
      <c r="J23" s="6">
        <v>0</v>
      </c>
      <c r="K23" s="6">
        <v>0</v>
      </c>
      <c r="L23" s="6">
        <v>1</v>
      </c>
      <c r="M23" s="6">
        <v>0</v>
      </c>
    </row>
    <row r="24" spans="1:13" ht="48" customHeight="1" thickTop="1" thickBot="1" x14ac:dyDescent="0.35">
      <c r="A24" s="21">
        <f t="shared" si="0"/>
        <v>1.1299999999999999</v>
      </c>
      <c r="B24" s="22" t="s">
        <v>27</v>
      </c>
      <c r="C24" s="22" t="s">
        <v>28</v>
      </c>
      <c r="D24" s="23"/>
      <c r="E24" s="3" t="s">
        <v>37</v>
      </c>
      <c r="H24" s="6">
        <v>0</v>
      </c>
      <c r="I24" s="6">
        <v>0</v>
      </c>
      <c r="J24" s="6">
        <v>0</v>
      </c>
      <c r="K24" s="6">
        <v>0</v>
      </c>
      <c r="L24" s="6">
        <v>1</v>
      </c>
      <c r="M24" s="6">
        <v>0</v>
      </c>
    </row>
    <row r="25" spans="1:13" ht="48" customHeight="1" thickTop="1" thickBot="1" x14ac:dyDescent="0.35">
      <c r="A25" s="21">
        <f t="shared" si="0"/>
        <v>1.1400000000000001</v>
      </c>
      <c r="B25" s="243" t="s">
        <v>471</v>
      </c>
      <c r="C25" s="243" t="s">
        <v>472</v>
      </c>
      <c r="D25" s="23"/>
      <c r="E25" s="3" t="s">
        <v>37</v>
      </c>
      <c r="H25" s="6">
        <v>0</v>
      </c>
      <c r="I25" s="6">
        <v>0</v>
      </c>
      <c r="J25" s="6">
        <v>0</v>
      </c>
      <c r="K25" s="6">
        <v>0</v>
      </c>
      <c r="L25" s="6">
        <v>1</v>
      </c>
      <c r="M25" s="6">
        <v>0</v>
      </c>
    </row>
    <row r="26" spans="1:13" ht="27" customHeight="1" thickTop="1" x14ac:dyDescent="0.3">
      <c r="A26" s="244"/>
      <c r="B26" s="38"/>
      <c r="C26" s="38"/>
      <c r="D26" s="38"/>
      <c r="E26" s="245"/>
      <c r="H26" s="246"/>
      <c r="I26" s="246"/>
      <c r="J26" s="246"/>
      <c r="K26" s="246"/>
      <c r="L26" s="246"/>
      <c r="M26" s="246"/>
    </row>
    <row r="27" spans="1:13" s="39" customFormat="1" ht="24" customHeight="1" x14ac:dyDescent="0.35">
      <c r="A27" s="5"/>
      <c r="B27" s="188" t="str">
        <f xml:space="preserve"> "Review Team Notes: " &amp; B8</f>
        <v>Review Team Notes: Management Policy and Ordinances</v>
      </c>
      <c r="C27" s="5"/>
      <c r="D27" s="5"/>
      <c r="E27" s="5"/>
      <c r="F27" s="25"/>
      <c r="G27" s="26" t="s">
        <v>223</v>
      </c>
      <c r="H27" s="40">
        <f>SUM(H12:H24)</f>
        <v>0</v>
      </c>
      <c r="I27" s="40">
        <f>SUM(I12:I24)</f>
        <v>0</v>
      </c>
      <c r="J27" s="40">
        <f>SUM(J12:J24)</f>
        <v>0</v>
      </c>
      <c r="K27" s="40">
        <f>SUM(K12:K24)</f>
        <v>0</v>
      </c>
      <c r="L27" s="40">
        <f>SUM(L12:L25)</f>
        <v>14</v>
      </c>
      <c r="M27" s="40">
        <f>SUM(M12:M24)</f>
        <v>0</v>
      </c>
    </row>
    <row r="28" spans="1:13" s="39" customFormat="1" ht="19.5" customHeight="1" x14ac:dyDescent="0.3">
      <c r="A28" s="5"/>
      <c r="B28" s="5"/>
      <c r="C28" s="5"/>
      <c r="D28" s="5"/>
      <c r="E28" s="5"/>
      <c r="F28" s="27"/>
      <c r="G28" s="26" t="s">
        <v>99</v>
      </c>
      <c r="H28" s="40">
        <f>H27 * LEFT('Review Information'!$C$9,1)</f>
        <v>0</v>
      </c>
      <c r="I28" s="40">
        <f>I27 * LEFT('Review Information'!$C$9,1)</f>
        <v>0</v>
      </c>
      <c r="J28" s="40">
        <f>J27 * LEFT('Review Information'!$C$9,1)</f>
        <v>0</v>
      </c>
      <c r="K28" s="40">
        <f>K27 * LEFT('Review Information'!$C$9,1)</f>
        <v>0</v>
      </c>
      <c r="L28" s="40">
        <f>L27 * LEFT('Review Information'!$C$9,1)</f>
        <v>28</v>
      </c>
      <c r="M28" s="40">
        <f>M27 * LEFT('Review Information'!$C$9,1)</f>
        <v>0</v>
      </c>
    </row>
    <row r="29" spans="1:13" s="39" customFormat="1" ht="24" customHeight="1" x14ac:dyDescent="0.3">
      <c r="A29" s="5"/>
      <c r="B29" s="299" t="s">
        <v>413</v>
      </c>
      <c r="C29" s="300"/>
      <c r="D29" s="300"/>
      <c r="E29" s="301"/>
      <c r="F29" s="27"/>
      <c r="G29" s="26" t="s">
        <v>100</v>
      </c>
      <c r="H29" s="18" t="str">
        <f>IF(LEFT('Review Information'!$C$8,1)="1",SUM(LEFT(E12,1), LEFT(E13,1),LEFT(E14,1),LEFT(E15,1),LEFT(E16,1),LEFT(E17,1),LEFT(E18,1),LEFT(E19,1),LEFT(E20,1),LEFT(E21,1),LEFT(E22,1),LEFT(E23,1),LEFT(E24,1)),"NA")</f>
        <v>NA</v>
      </c>
      <c r="I29" s="18" t="str">
        <f>IF(LEFT('Review Information'!$C$8,1)="2",SUM(LEFT(E12,1), LEFT(E13,1),LEFT(E14,1),LEFT(E15,1),LEFT(E16,1),LEFT(E17,1),LEFT(E18,1),LEFT(E19,1),LEFT(E20,1),LEFT(E21,1),LEFT(E22,1),LEFT(E23,1),LEFT(E24,1)),"NA")</f>
        <v>NA</v>
      </c>
      <c r="J29" s="18" t="str">
        <f>IF(LEFT('Review Information'!$C$8,1)="3",SUM(LEFT(E12,1), LEFT(E13,1),LEFT(E14,1),LEFT(E15,1),LEFT(E16,1),LEFT(E17,1),LEFT(E18,1),LEFT(E19,1),LEFT(E20,1),LEFT(E21,1),LEFT(E22,1),LEFT(E23,1),LEFT(E24,1)),"NA")</f>
        <v>NA</v>
      </c>
      <c r="K29" s="18" t="str">
        <f>IF(LEFT('Review Information'!$C$8,1)="4",SUM(LEFT(E12,1), LEFT(E13,1),LEFT(E14,1),LEFT(E15,1),LEFT(E16,1),LEFT(E17,1),LEFT(E18,1),LEFT(E19,1),LEFT(E20,1),LEFT(E21,1),LEFT(E22,1),LEFT(E23,1),LEFT(E24,1)),"NA")</f>
        <v>NA</v>
      </c>
      <c r="L29" s="18">
        <f>IF(LEFT('Review Information'!$C$8,1)="5",SUM(LEFT(E12,1), LEFT(E13,1),LEFT(E14,1),LEFT(E15,1),LEFT(E16,1),LEFT(E17,1),LEFT(E18,1),LEFT(E19,1),LEFT(E20,1),LEFT(E21,1),LEFT(E22,1),LEFT(E23,1),LEFT(E24,1)),"NA")</f>
        <v>0</v>
      </c>
      <c r="M29" s="18" t="str">
        <f>IF(LEFT('Review Information'!$C$8,1)="6",SUM(LEFT(E12,1), LEFT(E13,1),LEFT(E14,1),LEFT(E15,1),LEFT(E16,1),LEFT(E17,1),LEFT(E18,1),LEFT(E19,1),LEFT(E20,1),LEFT(E21,1),LEFT(E22,1),LEFT(E23,1),LEFT(E24,1)),"NA")</f>
        <v>NA</v>
      </c>
    </row>
    <row r="30" spans="1:13" s="39" customFormat="1" ht="24" customHeight="1" x14ac:dyDescent="0.3">
      <c r="A30" s="5"/>
      <c r="B30" s="278"/>
      <c r="C30" s="279"/>
      <c r="D30" s="279"/>
      <c r="E30" s="280"/>
      <c r="F30" s="27"/>
      <c r="G30" s="26" t="s">
        <v>105</v>
      </c>
      <c r="H30" s="41" t="str">
        <f>IF(LEFT('Review Information'!$C$8,1)="1",H$29/H$28,"NA")</f>
        <v>NA</v>
      </c>
      <c r="I30" s="41" t="str">
        <f>IF(LEFT('Review Information'!$C$8,1)="2",I$29/I$28,"NA")</f>
        <v>NA</v>
      </c>
      <c r="J30" s="41" t="str">
        <f>IF(LEFT('Review Information'!$C$8,1)="3",J$29/J$28,"NA")</f>
        <v>NA</v>
      </c>
      <c r="K30" s="41" t="str">
        <f>IF(LEFT('Review Information'!$C$8,1)="4",K$29/K$28,"NA")</f>
        <v>NA</v>
      </c>
      <c r="L30" s="41">
        <f>IF(LEFT('Review Information'!$C$8,1)="5",L$29/L$28,"NA")</f>
        <v>0</v>
      </c>
      <c r="M30" s="41" t="str">
        <f>IF(LEFT('Review Information'!$C$8,1)="6",M$29/M$28,"NA")</f>
        <v>NA</v>
      </c>
    </row>
    <row r="31" spans="1:13" ht="24" customHeight="1" x14ac:dyDescent="0.3">
      <c r="B31" s="278"/>
      <c r="C31" s="279"/>
      <c r="D31" s="279"/>
      <c r="E31" s="280"/>
    </row>
    <row r="32" spans="1:13" ht="24" customHeight="1" x14ac:dyDescent="0.3">
      <c r="B32" s="278"/>
      <c r="C32" s="279"/>
      <c r="D32" s="279"/>
      <c r="E32" s="280"/>
    </row>
    <row r="33" spans="1:13" ht="24" customHeight="1" x14ac:dyDescent="0.3">
      <c r="B33" s="278"/>
      <c r="C33" s="279"/>
      <c r="D33" s="279"/>
      <c r="E33" s="280"/>
      <c r="H33" s="15" t="s">
        <v>107</v>
      </c>
      <c r="I33" s="16"/>
      <c r="J33" s="16"/>
      <c r="K33" s="16"/>
      <c r="L33" s="17"/>
      <c r="M33" s="17"/>
    </row>
    <row r="34" spans="1:13" ht="24" customHeight="1" x14ac:dyDescent="0.3">
      <c r="B34" s="278"/>
      <c r="C34" s="279"/>
      <c r="D34" s="279"/>
      <c r="E34" s="280"/>
      <c r="G34" s="77" t="s">
        <v>102</v>
      </c>
      <c r="H34" s="125">
        <v>1</v>
      </c>
      <c r="I34" s="125">
        <v>1</v>
      </c>
      <c r="J34" s="125">
        <v>1</v>
      </c>
      <c r="K34" s="125">
        <v>2</v>
      </c>
      <c r="L34" s="125">
        <v>2</v>
      </c>
      <c r="M34" s="125">
        <v>2</v>
      </c>
    </row>
    <row r="35" spans="1:13" ht="24" customHeight="1" x14ac:dyDescent="0.3">
      <c r="B35" s="278"/>
      <c r="C35" s="279"/>
      <c r="D35" s="279"/>
      <c r="E35" s="280"/>
      <c r="G35" s="77" t="s">
        <v>103</v>
      </c>
      <c r="H35" s="40">
        <f>H34 * LEFT('Review Information'!$C$9,1)</f>
        <v>2</v>
      </c>
      <c r="I35" s="40">
        <f>I34 * LEFT('Review Information'!$C$9,1)</f>
        <v>2</v>
      </c>
      <c r="J35" s="40">
        <f>J34 * LEFT('Review Information'!$C$9,1)</f>
        <v>2</v>
      </c>
      <c r="K35" s="40">
        <f>K34 * LEFT('Review Information'!$C$9,1)</f>
        <v>4</v>
      </c>
      <c r="L35" s="40">
        <f>L34 * LEFT('Review Information'!$C$9,1)</f>
        <v>4</v>
      </c>
      <c r="M35" s="40">
        <f>M34 * LEFT('Review Information'!$C$9,1)</f>
        <v>4</v>
      </c>
    </row>
    <row r="36" spans="1:13" ht="24" customHeight="1" x14ac:dyDescent="0.3">
      <c r="B36" s="278"/>
      <c r="C36" s="279"/>
      <c r="D36" s="279"/>
      <c r="E36" s="280"/>
      <c r="G36" s="77" t="s">
        <v>73</v>
      </c>
      <c r="H36" s="42" t="str">
        <f>IF(LEFT('Review Information'!$C$8,1)="1",SUM(LEFT($E$14,1),LEFT($E$22,1)),"NA")</f>
        <v>NA</v>
      </c>
      <c r="I36" s="42" t="str">
        <f>IF(LEFT('Review Information'!$C$8,1)="2",SUM(LEFT($E$14,1),LEFT($E$22,1)),"NA")</f>
        <v>NA</v>
      </c>
      <c r="J36" s="42" t="str">
        <f>IF(LEFT('Review Information'!$C$8,1)="3",SUM(LEFT($E$14,1),LEFT($E$22,1)),"NA")</f>
        <v>NA</v>
      </c>
      <c r="K36" s="42" t="str">
        <f>IF(LEFT('Review Information'!$C$8,1)="4",SUM(LEFT($E$14,1),LEFT($E$22,1)),"NA")</f>
        <v>NA</v>
      </c>
      <c r="L36" s="42">
        <f>IF(LEFT('Review Information'!$C$8,1)="5",SUM(LEFT($E$14,1),LEFT($E$22,1)),"NA")</f>
        <v>0</v>
      </c>
      <c r="M36" s="42" t="str">
        <f>IF(LEFT('Review Information'!$C$8,1)="6",SUM(LEFT($E$14,1),LEFT($E$22,1)),"NA")</f>
        <v>NA</v>
      </c>
    </row>
    <row r="37" spans="1:13" ht="24" customHeight="1" x14ac:dyDescent="0.3">
      <c r="B37" s="281"/>
      <c r="C37" s="282"/>
      <c r="D37" s="282"/>
      <c r="E37" s="283"/>
      <c r="G37" s="77" t="s">
        <v>197</v>
      </c>
      <c r="H37" s="41" t="str">
        <f>IF(LEFT('Review Information'!$C$8,1)="1",H36/H35, "NA")</f>
        <v>NA</v>
      </c>
      <c r="I37" s="41" t="str">
        <f>IF(LEFT('Review Information'!$C$8,1)="2",I36/I35, "NA")</f>
        <v>NA</v>
      </c>
      <c r="J37" s="41" t="str">
        <f>IF(LEFT('Review Information'!$C$8,1)="3",J36/J35, "NA")</f>
        <v>NA</v>
      </c>
      <c r="K37" s="41" t="str">
        <f>IF(LEFT('Review Information'!$C$8,1)="4",K36/K35, "NA")</f>
        <v>NA</v>
      </c>
      <c r="L37" s="41">
        <f>IF(LEFT('Review Information'!$C$8,1)="5",L36/L35, "NA")</f>
        <v>0</v>
      </c>
      <c r="M37" s="41" t="str">
        <f>IF(LEFT('Review Information'!$C$8,1)="6",M36/M35, "NA")</f>
        <v>NA</v>
      </c>
    </row>
    <row r="38" spans="1:13" ht="24" customHeight="1" x14ac:dyDescent="0.3">
      <c r="G38" s="26"/>
      <c r="H38" s="41"/>
      <c r="I38" s="41"/>
      <c r="J38" s="41"/>
      <c r="K38" s="41"/>
      <c r="L38" s="41"/>
      <c r="M38" s="41"/>
    </row>
    <row r="39" spans="1:13" ht="24" customHeight="1" x14ac:dyDescent="0.3">
      <c r="B39" s="293" t="s">
        <v>36</v>
      </c>
      <c r="C39" s="294"/>
      <c r="D39" s="294"/>
      <c r="E39" s="295"/>
      <c r="H39" s="15" t="s">
        <v>108</v>
      </c>
      <c r="I39" s="43"/>
      <c r="J39" s="43"/>
      <c r="K39" s="43"/>
      <c r="L39" s="43"/>
      <c r="M39" s="43"/>
    </row>
    <row r="40" spans="1:13" ht="54" customHeight="1" x14ac:dyDescent="0.3">
      <c r="B40" s="284" t="s">
        <v>400</v>
      </c>
      <c r="C40" s="285"/>
      <c r="D40" s="285"/>
      <c r="E40" s="286"/>
      <c r="G40" s="78" t="s">
        <v>101</v>
      </c>
      <c r="H40" s="133">
        <v>3</v>
      </c>
      <c r="I40" s="133">
        <v>3</v>
      </c>
      <c r="J40" s="133">
        <v>3</v>
      </c>
      <c r="K40" s="133">
        <v>3</v>
      </c>
      <c r="L40" s="133">
        <v>3</v>
      </c>
      <c r="M40" s="133">
        <v>3</v>
      </c>
    </row>
    <row r="41" spans="1:13" ht="38.25" customHeight="1" x14ac:dyDescent="0.3">
      <c r="B41" s="296" t="s">
        <v>401</v>
      </c>
      <c r="C41" s="297"/>
      <c r="D41" s="297"/>
      <c r="E41" s="298"/>
      <c r="G41" s="78" t="s">
        <v>104</v>
      </c>
      <c r="H41" s="40">
        <f>H40 * LEFT('Review Information'!$C$9,1)</f>
        <v>6</v>
      </c>
      <c r="I41" s="40">
        <f>I40 * LEFT('Review Information'!$C$9,1)</f>
        <v>6</v>
      </c>
      <c r="J41" s="40">
        <f>J40 * LEFT('Review Information'!$C$9,1)</f>
        <v>6</v>
      </c>
      <c r="K41" s="40">
        <f>K40 * LEFT('Review Information'!$C$9,1)</f>
        <v>6</v>
      </c>
      <c r="L41" s="40">
        <f>L40 * LEFT('Review Information'!$C$9,1)</f>
        <v>6</v>
      </c>
      <c r="M41" s="40">
        <f>M40 * LEFT('Review Information'!$C$9,1)</f>
        <v>6</v>
      </c>
    </row>
    <row r="42" spans="1:13" ht="33" customHeight="1" x14ac:dyDescent="0.3">
      <c r="B42" s="287" t="s">
        <v>74</v>
      </c>
      <c r="C42" s="288"/>
      <c r="D42" s="288"/>
      <c r="E42" s="289"/>
      <c r="G42" s="78" t="s">
        <v>75</v>
      </c>
      <c r="H42" s="42" t="str">
        <f>IF(LEFT('Review Information'!$C$8,1)="1",SUM(LEFT($E$13,1),LEFT($E$15,1),LEFT($E$17,1)),"NA")</f>
        <v>NA</v>
      </c>
      <c r="I42" s="42" t="str">
        <f>IF(LEFT('Review Information'!$C$8,1)="2",SUM(LEFT($E$13,1),LEFT($E$15,1),LEFT($E$17,1)),"NA")</f>
        <v>NA</v>
      </c>
      <c r="J42" s="42" t="str">
        <f>IF(LEFT('Review Information'!$C$8,1)="3",SUM(LEFT($E$13,1),LEFT($E$15,1),LEFT($E$17,1)),"NA")</f>
        <v>NA</v>
      </c>
      <c r="K42" s="42" t="str">
        <f>IF(LEFT('Review Information'!$C$8,1)="4",SUM(LEFT($E$13,1),LEFT($E$15,1),LEFT($E$17,1)),"NA")</f>
        <v>NA</v>
      </c>
      <c r="L42" s="42">
        <f>IF(LEFT('Review Information'!$C$8,1)="5",SUM(LEFT($E$13,1),LEFT($E$15,1),LEFT($E$17,1)),"NA")</f>
        <v>0</v>
      </c>
      <c r="M42" s="42" t="str">
        <f>IF(LEFT('Review Information'!$C$8,1)="6",SUM(LEFT($E$13,1),LEFT($E$15,1),LEFT($E$17,1)),"NA")</f>
        <v>NA</v>
      </c>
    </row>
    <row r="43" spans="1:13" ht="24" customHeight="1" x14ac:dyDescent="0.3">
      <c r="B43" s="290" t="s">
        <v>45</v>
      </c>
      <c r="C43" s="291"/>
      <c r="D43" s="291"/>
      <c r="E43" s="292"/>
      <c r="G43" s="78" t="s">
        <v>198</v>
      </c>
      <c r="H43" s="41" t="str">
        <f>IF(LEFT('Review Information'!$C$8,1)="1",H42/H41, "NA")</f>
        <v>NA</v>
      </c>
      <c r="I43" s="41" t="str">
        <f>IF(LEFT('Review Information'!$C$8,1)="2",I42/I41, "NA")</f>
        <v>NA</v>
      </c>
      <c r="J43" s="41" t="str">
        <f>IF(LEFT('Review Information'!$C$8,1)="3",J42/J41, "NA")</f>
        <v>NA</v>
      </c>
      <c r="K43" s="41" t="str">
        <f>IF(LEFT('Review Information'!$C$8,1)="4",K42/K41, "NA")</f>
        <v>NA</v>
      </c>
      <c r="L43" s="41">
        <f>IF(LEFT('Review Information'!$C$8,1)="5",L42/L41, "NA")</f>
        <v>0</v>
      </c>
      <c r="M43" s="41" t="str">
        <f>IF(LEFT('Review Information'!$C$8,1)="6",M42/M41, "NA")</f>
        <v>NA</v>
      </c>
    </row>
    <row r="45" spans="1:13" ht="15" customHeight="1" x14ac:dyDescent="0.3">
      <c r="A45" s="258" t="str">
        <f>About!A1</f>
        <v>Urban Forest Sustainability and Management Review (v6.6a Austin)</v>
      </c>
      <c r="B45" s="258"/>
      <c r="C45" s="258"/>
      <c r="D45" s="258"/>
      <c r="E45" s="258"/>
      <c r="F45" s="258"/>
      <c r="G45" s="258"/>
      <c r="H45" s="258"/>
      <c r="I45" s="258"/>
      <c r="J45" s="258"/>
      <c r="K45" s="258"/>
      <c r="L45" s="258"/>
      <c r="M45" s="258"/>
    </row>
    <row r="46" spans="1:13" x14ac:dyDescent="0.3">
      <c r="A46" s="258"/>
      <c r="B46" s="258"/>
      <c r="C46" s="258"/>
      <c r="D46" s="258"/>
      <c r="E46" s="258"/>
      <c r="F46" s="258"/>
      <c r="G46" s="258"/>
      <c r="H46" s="258"/>
      <c r="I46" s="258"/>
      <c r="J46" s="258"/>
      <c r="K46" s="258"/>
      <c r="L46" s="258"/>
      <c r="M46" s="258"/>
    </row>
    <row r="61" spans="10:10" x14ac:dyDescent="0.3">
      <c r="J61" s="5"/>
    </row>
    <row r="64" spans="10:10" ht="84" customHeight="1" x14ac:dyDescent="0.3"/>
    <row r="65" ht="38.25" customHeight="1" x14ac:dyDescent="0.3"/>
  </sheetData>
  <sheetProtection selectLockedCells="1"/>
  <mergeCells count="17">
    <mergeCell ref="B29:E29"/>
    <mergeCell ref="B30:E30"/>
    <mergeCell ref="B31:E31"/>
    <mergeCell ref="F1:M2"/>
    <mergeCell ref="A1:E2"/>
    <mergeCell ref="B32:E32"/>
    <mergeCell ref="B33:E33"/>
    <mergeCell ref="B34:E34"/>
    <mergeCell ref="A45:M46"/>
    <mergeCell ref="B37:E37"/>
    <mergeCell ref="B40:E40"/>
    <mergeCell ref="B42:E42"/>
    <mergeCell ref="B43:E43"/>
    <mergeCell ref="B39:E39"/>
    <mergeCell ref="B35:E35"/>
    <mergeCell ref="B36:E36"/>
    <mergeCell ref="B41:E41"/>
  </mergeCells>
  <dataValidations count="1">
    <dataValidation type="list" allowBlank="1" showInputMessage="1" showErrorMessage="1" errorTitle="Evaluation" error="You must select from the dropdown list!" promptTitle="Evaluation" prompt="Select the most appropriate management or current activity." sqref="E12:E26">
      <formula1>Evaluate</formula1>
    </dataValidation>
  </dataValidations>
  <hyperlinks>
    <hyperlink ref="M4" location="'TOC - Quick Access'!A1" display="Return to TOC"/>
  </hyperlinks>
  <pageMargins left="0.7" right="0.7" top="0.75" bottom="0.75" header="0.3" footer="0.3"/>
  <pageSetup orientation="portrait" r:id="rId1"/>
  <ignoredErrors>
    <ignoredError sqref="H2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41"/>
  <sheetViews>
    <sheetView zoomScale="75" zoomScaleNormal="75" workbookViewId="0">
      <selection sqref="A1:E2"/>
    </sheetView>
  </sheetViews>
  <sheetFormatPr defaultColWidth="9.109375" defaultRowHeight="14.4" x14ac:dyDescent="0.3"/>
  <cols>
    <col min="1" max="1" width="11.33203125" style="5" customWidth="1"/>
    <col min="2" max="2" width="36.109375" style="5" customWidth="1"/>
    <col min="3" max="3" width="54.88671875" style="5" customWidth="1"/>
    <col min="4" max="4" width="28.109375" style="5" customWidth="1"/>
    <col min="5" max="5" width="39.88671875" style="5" customWidth="1"/>
    <col min="6" max="6" width="4.109375" style="5" customWidth="1"/>
    <col min="7" max="7" width="29.88671875" style="5" customWidth="1"/>
    <col min="8" max="8" width="9.88671875" style="5" customWidth="1"/>
    <col min="9" max="9" width="7.88671875" style="5" customWidth="1"/>
    <col min="10" max="11" width="7.44140625" style="5" customWidth="1"/>
    <col min="12" max="12" width="9.88671875" style="5" customWidth="1"/>
    <col min="13" max="13" width="11.6640625" style="5" customWidth="1"/>
    <col min="14" max="16384" width="9.109375" style="5"/>
  </cols>
  <sheetData>
    <row r="1" spans="1:13" x14ac:dyDescent="0.3">
      <c r="A1" s="256" t="str">
        <f>About!A1</f>
        <v>Urban Forest Sustainability and Management Review (v6.6a Austin)</v>
      </c>
      <c r="B1" s="257"/>
      <c r="C1" s="257"/>
      <c r="D1" s="257"/>
      <c r="E1" s="257"/>
      <c r="F1" s="302"/>
      <c r="G1" s="302"/>
      <c r="H1" s="302"/>
      <c r="I1" s="302"/>
      <c r="J1" s="302"/>
      <c r="K1" s="302"/>
      <c r="L1" s="302"/>
      <c r="M1" s="302"/>
    </row>
    <row r="2" spans="1:13" x14ac:dyDescent="0.3">
      <c r="A2" s="257"/>
      <c r="B2" s="257"/>
      <c r="C2" s="257"/>
      <c r="D2" s="257"/>
      <c r="E2" s="257"/>
      <c r="F2" s="302"/>
      <c r="G2" s="302"/>
      <c r="H2" s="302"/>
      <c r="I2" s="302"/>
      <c r="J2" s="302"/>
      <c r="K2" s="302"/>
      <c r="L2" s="302"/>
      <c r="M2" s="302"/>
    </row>
    <row r="3" spans="1:13" x14ac:dyDescent="0.3">
      <c r="C3" s="9"/>
      <c r="D3" s="10"/>
      <c r="H3" s="11"/>
      <c r="I3" s="11"/>
      <c r="J3" s="11"/>
      <c r="K3" s="11"/>
    </row>
    <row r="4" spans="1:13" ht="24" customHeight="1" x14ac:dyDescent="0.3">
      <c r="A4" s="12"/>
      <c r="B4" s="69" t="s">
        <v>31</v>
      </c>
      <c r="C4" s="71" t="str">
        <f>'Review Information'!C6</f>
        <v xml:space="preserve">&lt; enter the name of the city or college &gt; </v>
      </c>
      <c r="D4" s="69" t="s">
        <v>30</v>
      </c>
      <c r="E4" s="71" t="str">
        <f>'Review Information'!E6</f>
        <v>&lt; enter arborist here &gt;</v>
      </c>
      <c r="H4" s="11"/>
      <c r="I4" s="11"/>
      <c r="J4" s="11"/>
      <c r="K4" s="11"/>
      <c r="L4" s="11"/>
      <c r="M4" s="46" t="s">
        <v>115</v>
      </c>
    </row>
    <row r="5" spans="1:13" ht="24" customHeight="1" x14ac:dyDescent="0.3">
      <c r="A5" s="12"/>
      <c r="B5" s="69" t="s">
        <v>0</v>
      </c>
      <c r="C5" s="71" t="str">
        <f>'Review Information'!C7</f>
        <v>&lt; enter the team leaders name here &gt;</v>
      </c>
      <c r="D5" s="69" t="s">
        <v>29</v>
      </c>
      <c r="E5" s="73">
        <f>'Review Information'!E7</f>
        <v>42625</v>
      </c>
      <c r="H5" s="11"/>
      <c r="I5" s="11"/>
      <c r="J5" s="11"/>
      <c r="K5" s="11"/>
    </row>
    <row r="6" spans="1:13" ht="24" customHeight="1" x14ac:dyDescent="0.3">
      <c r="A6" s="12"/>
      <c r="B6" s="69" t="s">
        <v>32</v>
      </c>
      <c r="C6" s="71" t="str">
        <f>'Review Information'!C8</f>
        <v>5) Municipality</v>
      </c>
      <c r="D6" s="69"/>
      <c r="E6" s="73"/>
      <c r="H6" s="11"/>
      <c r="I6" s="11"/>
      <c r="J6" s="11"/>
      <c r="K6" s="11"/>
    </row>
    <row r="7" spans="1:13" x14ac:dyDescent="0.3">
      <c r="C7" s="9"/>
      <c r="D7" s="10"/>
      <c r="H7" s="11"/>
      <c r="I7" s="11"/>
      <c r="J7" s="11"/>
      <c r="K7" s="11"/>
    </row>
    <row r="8" spans="1:13" ht="24" customHeight="1" x14ac:dyDescent="0.3">
      <c r="A8" s="13">
        <v>2</v>
      </c>
      <c r="B8" s="65" t="s">
        <v>116</v>
      </c>
      <c r="H8" s="11"/>
      <c r="I8" s="11"/>
      <c r="J8" s="11"/>
      <c r="K8" s="11"/>
    </row>
    <row r="9" spans="1:13" ht="18" customHeight="1" x14ac:dyDescent="0.3">
      <c r="A9" s="14"/>
      <c r="H9" s="15" t="s">
        <v>106</v>
      </c>
      <c r="I9" s="16"/>
      <c r="J9" s="16"/>
      <c r="K9" s="16"/>
      <c r="L9" s="17"/>
      <c r="M9" s="17"/>
    </row>
    <row r="10" spans="1:13" ht="24" customHeight="1" x14ac:dyDescent="0.3">
      <c r="A10" s="98" t="s">
        <v>66</v>
      </c>
      <c r="B10" s="101" t="s">
        <v>67</v>
      </c>
      <c r="C10" s="105" t="s">
        <v>1</v>
      </c>
      <c r="D10" s="105" t="s">
        <v>2</v>
      </c>
      <c r="E10" s="110" t="s">
        <v>3</v>
      </c>
      <c r="F10" s="7"/>
      <c r="G10" s="7"/>
      <c r="H10" s="20" t="s">
        <v>58</v>
      </c>
      <c r="I10" s="20" t="s">
        <v>109</v>
      </c>
      <c r="J10" s="20" t="s">
        <v>63</v>
      </c>
      <c r="K10" s="20" t="s">
        <v>57</v>
      </c>
      <c r="L10" s="20" t="s">
        <v>56</v>
      </c>
      <c r="M10" s="20" t="s">
        <v>110</v>
      </c>
    </row>
    <row r="11" spans="1:13" ht="24" customHeight="1" thickBot="1" x14ac:dyDescent="0.35">
      <c r="A11" s="21">
        <f>A8</f>
        <v>2</v>
      </c>
      <c r="B11" s="22" t="s">
        <v>118</v>
      </c>
      <c r="C11" s="22" t="s">
        <v>121</v>
      </c>
      <c r="D11" s="23"/>
      <c r="E11" s="24"/>
      <c r="H11" s="11"/>
      <c r="I11" s="11"/>
      <c r="J11" s="11"/>
      <c r="K11" s="11"/>
    </row>
    <row r="12" spans="1:13" ht="24" customHeight="1" thickTop="1" thickBot="1" x14ac:dyDescent="0.35">
      <c r="A12" s="21">
        <f>$A$8 + (ROW()-11)/100</f>
        <v>2.0099999999999998</v>
      </c>
      <c r="B12" s="32" t="s">
        <v>117</v>
      </c>
      <c r="C12" s="34"/>
      <c r="D12" s="34"/>
      <c r="E12" s="49" t="s">
        <v>37</v>
      </c>
      <c r="H12" s="6">
        <v>0</v>
      </c>
      <c r="I12" s="6">
        <v>0</v>
      </c>
      <c r="J12" s="6">
        <v>0</v>
      </c>
      <c r="K12" s="6">
        <v>0</v>
      </c>
      <c r="L12" s="6">
        <v>1</v>
      </c>
      <c r="M12" s="6">
        <v>0</v>
      </c>
    </row>
    <row r="13" spans="1:13" ht="24" customHeight="1" thickTop="1" thickBot="1" x14ac:dyDescent="0.35">
      <c r="A13" s="21">
        <f t="shared" ref="A13:A20" si="0">$A$8 + (ROW()-11)/100</f>
        <v>2.02</v>
      </c>
      <c r="B13" s="32" t="s">
        <v>119</v>
      </c>
      <c r="C13" s="33"/>
      <c r="D13" s="63"/>
      <c r="E13" s="49" t="s">
        <v>37</v>
      </c>
      <c r="H13" s="6">
        <v>0</v>
      </c>
      <c r="I13" s="6">
        <v>0</v>
      </c>
      <c r="J13" s="6">
        <v>0</v>
      </c>
      <c r="K13" s="6">
        <v>0</v>
      </c>
      <c r="L13" s="6">
        <v>0</v>
      </c>
      <c r="M13" s="6">
        <v>0</v>
      </c>
    </row>
    <row r="14" spans="1:13" ht="24" customHeight="1" thickTop="1" thickBot="1" x14ac:dyDescent="0.35">
      <c r="A14" s="21">
        <f t="shared" si="0"/>
        <v>2.0299999999999998</v>
      </c>
      <c r="B14" s="32" t="s">
        <v>120</v>
      </c>
      <c r="C14" s="33"/>
      <c r="D14" s="34"/>
      <c r="E14" s="49" t="s">
        <v>37</v>
      </c>
      <c r="H14" s="6">
        <v>0</v>
      </c>
      <c r="I14" s="6">
        <v>0</v>
      </c>
      <c r="J14" s="6">
        <v>0</v>
      </c>
      <c r="K14" s="6">
        <v>0</v>
      </c>
      <c r="L14" s="6">
        <v>0</v>
      </c>
      <c r="M14" s="6">
        <v>0</v>
      </c>
    </row>
    <row r="15" spans="1:13" ht="36" customHeight="1" thickTop="1" thickBot="1" x14ac:dyDescent="0.35">
      <c r="A15" s="21">
        <f t="shared" si="0"/>
        <v>2.04</v>
      </c>
      <c r="B15" s="47" t="s">
        <v>122</v>
      </c>
      <c r="C15" s="22" t="s">
        <v>147</v>
      </c>
      <c r="D15" s="48"/>
      <c r="E15" s="49" t="s">
        <v>37</v>
      </c>
      <c r="H15" s="6">
        <v>0</v>
      </c>
      <c r="I15" s="6">
        <v>0</v>
      </c>
      <c r="J15" s="6">
        <v>0</v>
      </c>
      <c r="K15" s="6">
        <v>0</v>
      </c>
      <c r="L15" s="6">
        <v>1</v>
      </c>
      <c r="M15" s="6">
        <v>0</v>
      </c>
    </row>
    <row r="16" spans="1:13" ht="24" customHeight="1" thickTop="1" thickBot="1" x14ac:dyDescent="0.35">
      <c r="A16" s="21">
        <f t="shared" si="0"/>
        <v>2.0499999999999998</v>
      </c>
      <c r="B16" s="22" t="s">
        <v>123</v>
      </c>
      <c r="C16" s="22" t="s">
        <v>146</v>
      </c>
      <c r="D16" s="29"/>
      <c r="E16" s="3" t="s">
        <v>37</v>
      </c>
      <c r="H16" s="6">
        <v>0</v>
      </c>
      <c r="I16" s="6">
        <v>0</v>
      </c>
      <c r="J16" s="6">
        <v>0</v>
      </c>
      <c r="K16" s="6">
        <v>0</v>
      </c>
      <c r="L16" s="6">
        <v>1</v>
      </c>
      <c r="M16" s="6">
        <v>0</v>
      </c>
    </row>
    <row r="17" spans="1:13" ht="36" customHeight="1" thickTop="1" thickBot="1" x14ac:dyDescent="0.35">
      <c r="A17" s="21">
        <f t="shared" si="0"/>
        <v>2.06</v>
      </c>
      <c r="B17" s="22" t="s">
        <v>140</v>
      </c>
      <c r="C17" s="22" t="s">
        <v>145</v>
      </c>
      <c r="D17" s="48"/>
      <c r="E17" s="49" t="s">
        <v>37</v>
      </c>
      <c r="H17" s="6">
        <v>0</v>
      </c>
      <c r="I17" s="6">
        <v>0</v>
      </c>
      <c r="J17" s="6">
        <v>0</v>
      </c>
      <c r="K17" s="6">
        <v>0</v>
      </c>
      <c r="L17" s="6">
        <v>1</v>
      </c>
      <c r="M17" s="6">
        <v>0</v>
      </c>
    </row>
    <row r="18" spans="1:13" ht="36" customHeight="1" thickTop="1" thickBot="1" x14ac:dyDescent="0.35">
      <c r="A18" s="52">
        <f t="shared" si="0"/>
        <v>2.0699999999999998</v>
      </c>
      <c r="B18" s="22" t="s">
        <v>141</v>
      </c>
      <c r="C18" s="22" t="s">
        <v>144</v>
      </c>
      <c r="D18" s="48"/>
      <c r="E18" s="3" t="s">
        <v>37</v>
      </c>
      <c r="H18" s="6">
        <v>0</v>
      </c>
      <c r="I18" s="6">
        <v>0</v>
      </c>
      <c r="J18" s="6">
        <v>0</v>
      </c>
      <c r="K18" s="6">
        <v>0</v>
      </c>
      <c r="L18" s="6">
        <v>1</v>
      </c>
      <c r="M18" s="6">
        <v>0</v>
      </c>
    </row>
    <row r="19" spans="1:13" ht="36" customHeight="1" thickTop="1" thickBot="1" x14ac:dyDescent="0.35">
      <c r="A19" s="52">
        <f t="shared" si="0"/>
        <v>2.08</v>
      </c>
      <c r="B19" s="22" t="s">
        <v>142</v>
      </c>
      <c r="C19" s="22" t="s">
        <v>143</v>
      </c>
      <c r="D19" s="48" t="s">
        <v>148</v>
      </c>
      <c r="E19" s="3" t="s">
        <v>37</v>
      </c>
      <c r="H19" s="6">
        <v>0</v>
      </c>
      <c r="I19" s="6">
        <v>0</v>
      </c>
      <c r="J19" s="6">
        <v>0</v>
      </c>
      <c r="K19" s="6">
        <v>0</v>
      </c>
      <c r="L19" s="6">
        <v>1</v>
      </c>
      <c r="M19" s="6">
        <v>0</v>
      </c>
    </row>
    <row r="20" spans="1:13" ht="45" customHeight="1" thickTop="1" thickBot="1" x14ac:dyDescent="0.35">
      <c r="A20" s="52">
        <f t="shared" si="0"/>
        <v>2.09</v>
      </c>
      <c r="B20" s="243" t="s">
        <v>473</v>
      </c>
      <c r="C20" s="243" t="s">
        <v>474</v>
      </c>
      <c r="D20" s="48"/>
      <c r="E20" s="3" t="s">
        <v>37</v>
      </c>
      <c r="H20" s="6">
        <v>0</v>
      </c>
      <c r="I20" s="6">
        <v>0</v>
      </c>
      <c r="J20" s="6">
        <v>0</v>
      </c>
      <c r="K20" s="6">
        <v>0</v>
      </c>
      <c r="L20" s="6">
        <v>1</v>
      </c>
      <c r="M20" s="6">
        <v>0</v>
      </c>
    </row>
    <row r="21" spans="1:13" ht="24" customHeight="1" thickTop="1" x14ac:dyDescent="0.3">
      <c r="A21" s="37"/>
      <c r="B21" s="38"/>
      <c r="C21" s="38"/>
      <c r="D21" s="38"/>
      <c r="H21" s="11"/>
      <c r="I21" s="11"/>
      <c r="J21" s="11"/>
      <c r="K21" s="11"/>
    </row>
    <row r="22" spans="1:13" ht="24" customHeight="1" x14ac:dyDescent="0.35">
      <c r="B22" s="188" t="str">
        <f xml:space="preserve"> "Review Team Notes: " &amp; B8</f>
        <v>Review Team Notes: Professional Capacity and Training</v>
      </c>
      <c r="F22" s="25"/>
      <c r="G22" s="26" t="s">
        <v>223</v>
      </c>
      <c r="H22" s="40">
        <f t="shared" ref="H22:M22" si="1">SUM(H12:H19)</f>
        <v>0</v>
      </c>
      <c r="I22" s="40">
        <f t="shared" si="1"/>
        <v>0</v>
      </c>
      <c r="J22" s="40">
        <f t="shared" si="1"/>
        <v>0</v>
      </c>
      <c r="K22" s="40">
        <f t="shared" si="1"/>
        <v>0</v>
      </c>
      <c r="L22" s="40">
        <f>SUM(L12:L20)</f>
        <v>7</v>
      </c>
      <c r="M22" s="40">
        <f t="shared" si="1"/>
        <v>0</v>
      </c>
    </row>
    <row r="23" spans="1:13" ht="24" customHeight="1" x14ac:dyDescent="0.3">
      <c r="F23" s="27"/>
      <c r="G23" s="26" t="s">
        <v>99</v>
      </c>
      <c r="H23" s="40">
        <f>H22 * LEFT('Review Information'!$C$9,1)</f>
        <v>0</v>
      </c>
      <c r="I23" s="40">
        <f>I22 * LEFT('Review Information'!$C$9,1)</f>
        <v>0</v>
      </c>
      <c r="J23" s="40">
        <f>J22 * LEFT('Review Information'!$C$9,1)</f>
        <v>0</v>
      </c>
      <c r="K23" s="40">
        <f>K22 * LEFT('Review Information'!$C$9,1)</f>
        <v>0</v>
      </c>
      <c r="L23" s="40">
        <f>L22 * LEFT('Review Information'!$C$9,1)</f>
        <v>14</v>
      </c>
      <c r="M23" s="40">
        <f>M22 * LEFT('Review Information'!$C$9,1)</f>
        <v>0</v>
      </c>
    </row>
    <row r="24" spans="1:13" ht="24" customHeight="1" x14ac:dyDescent="0.3">
      <c r="B24" s="299" t="s">
        <v>413</v>
      </c>
      <c r="C24" s="300"/>
      <c r="D24" s="300"/>
      <c r="E24" s="301"/>
      <c r="F24" s="27"/>
      <c r="G24" s="26" t="s">
        <v>100</v>
      </c>
      <c r="H24" s="18" t="str">
        <f>IF(LEFT('Review Information'!$C$8,1)="1",SUM(LEFT(E12,1), LEFT(E13,1),LEFT(E14,1),LEFT(E15,1),LEFT(E16,1),LEFT(E17,1),LEFT(E18,1),LEFT(E19,1),),"NA")</f>
        <v>NA</v>
      </c>
      <c r="I24" s="18" t="str">
        <f>IF(LEFT('Review Information'!$C$8,1)="2",SUM(LEFT(E12,1), LEFT(E13,1),LEFT(E14,1),LEFT(E15,1),LEFT(E16,1),LEFT(E17,1),LEFT(E18,1),LEFT(E19,1),),"NA")</f>
        <v>NA</v>
      </c>
      <c r="J24" s="18" t="str">
        <f>IF(LEFT('Review Information'!$C$8,1)="3",SUM(LEFT(E12,1), LEFT(E13,1),LEFT(E14,1),LEFT(E15,1),LEFT(E16,1),LEFT(E17,1),LEFT(E18,1),LEFT(E19,1),),"NA")</f>
        <v>NA</v>
      </c>
      <c r="K24" s="18" t="str">
        <f>IF(LEFT('Review Information'!$C$8,1)="4",SUM(LEFT(E12,1), LEFT(E13,1),LEFT(E14,1),LEFT(E15,1),LEFT(E16,1),LEFT(E17,1),LEFT(E18,1),LEFT(E19,1),),"NA")</f>
        <v>NA</v>
      </c>
      <c r="L24" s="18">
        <f>IF(LEFT('Review Information'!$C$8,1)="5",SUM(LEFT(E12,1), LEFT(E13,1),LEFT(E14,1),LEFT(E15,1),LEFT(E16,1),LEFT(E17,1),LEFT(E18,1),LEFT(E19,1),),"NA")</f>
        <v>0</v>
      </c>
      <c r="M24" s="18" t="str">
        <f>IF(LEFT('Review Information'!$C$8,1)="6",SUM(LEFT(E12,1), LEFT(E13,1),LEFT(E14,1),LEFT(E15,1),LEFT(E16,1),LEFT(E17,1),LEFT(E18,1),LEFT(E19,1),),"NA")</f>
        <v>NA</v>
      </c>
    </row>
    <row r="25" spans="1:13" ht="24" customHeight="1" x14ac:dyDescent="0.3">
      <c r="B25" s="278"/>
      <c r="C25" s="279"/>
      <c r="D25" s="279"/>
      <c r="E25" s="280"/>
      <c r="F25" s="27"/>
      <c r="G25" s="26" t="s">
        <v>105</v>
      </c>
      <c r="H25" s="41" t="str">
        <f>IF(LEFT('Review Information'!$C$8,1)="1",H$24/H$23,"NA")</f>
        <v>NA</v>
      </c>
      <c r="I25" s="41" t="str">
        <f>IF(LEFT('Review Information'!$C$8,1)="2",I$24/I$23,"NA")</f>
        <v>NA</v>
      </c>
      <c r="J25" s="41" t="str">
        <f>IF(LEFT('Review Information'!$C$8,1)="3",J$24/J$23,"NA")</f>
        <v>NA</v>
      </c>
      <c r="K25" s="41" t="str">
        <f>IF(LEFT('Review Information'!$C$8,1)="4",K$24/K$23,"NA")</f>
        <v>NA</v>
      </c>
      <c r="L25" s="41">
        <f>IF(LEFT('Review Information'!$C$8,1)="5",L$24/L$23,"NA")</f>
        <v>0</v>
      </c>
      <c r="M25" s="41" t="str">
        <f>IF(LEFT('Review Information'!$C$8,1)="6",M$24/M$23,"NA")</f>
        <v>NA</v>
      </c>
    </row>
    <row r="26" spans="1:13" ht="24" customHeight="1" x14ac:dyDescent="0.3">
      <c r="B26" s="278"/>
      <c r="C26" s="279"/>
      <c r="D26" s="279"/>
      <c r="E26" s="280"/>
      <c r="H26" s="11"/>
      <c r="I26" s="11"/>
      <c r="J26" s="11"/>
      <c r="K26" s="11"/>
    </row>
    <row r="27" spans="1:13" ht="24" customHeight="1" x14ac:dyDescent="0.3">
      <c r="B27" s="278"/>
      <c r="C27" s="279"/>
      <c r="D27" s="279"/>
      <c r="E27" s="280"/>
      <c r="H27" s="11"/>
      <c r="I27" s="11"/>
      <c r="J27" s="11"/>
      <c r="K27" s="11"/>
    </row>
    <row r="28" spans="1:13" ht="24" customHeight="1" x14ac:dyDescent="0.3">
      <c r="B28" s="278"/>
      <c r="C28" s="279"/>
      <c r="D28" s="279"/>
      <c r="E28" s="280"/>
      <c r="H28" s="15" t="s">
        <v>107</v>
      </c>
      <c r="I28" s="16"/>
      <c r="J28" s="16"/>
      <c r="K28" s="16"/>
      <c r="L28" s="17"/>
      <c r="M28" s="17"/>
    </row>
    <row r="29" spans="1:13" ht="24" customHeight="1" x14ac:dyDescent="0.3">
      <c r="B29" s="278"/>
      <c r="C29" s="279"/>
      <c r="D29" s="279"/>
      <c r="E29" s="280"/>
      <c r="G29" s="77" t="s">
        <v>102</v>
      </c>
      <c r="H29" s="125">
        <v>1</v>
      </c>
      <c r="I29" s="125">
        <v>1</v>
      </c>
      <c r="J29" s="125">
        <v>1</v>
      </c>
      <c r="K29" s="125">
        <v>1</v>
      </c>
      <c r="L29" s="125">
        <v>1</v>
      </c>
      <c r="M29" s="125">
        <v>1</v>
      </c>
    </row>
    <row r="30" spans="1:13" ht="24" customHeight="1" x14ac:dyDescent="0.3">
      <c r="B30" s="278"/>
      <c r="C30" s="279"/>
      <c r="D30" s="279"/>
      <c r="E30" s="280"/>
      <c r="G30" s="77" t="s">
        <v>103</v>
      </c>
      <c r="H30" s="40">
        <f>H29 * LEFT('Review Information'!$C$9,1)</f>
        <v>2</v>
      </c>
      <c r="I30" s="40">
        <f>I29 * LEFT('Review Information'!$C$9,1)</f>
        <v>2</v>
      </c>
      <c r="J30" s="40">
        <f>J29 * LEFT('Review Information'!$C$9,1)</f>
        <v>2</v>
      </c>
      <c r="K30" s="40">
        <f>K29 * LEFT('Review Information'!$C$9,1)</f>
        <v>2</v>
      </c>
      <c r="L30" s="40">
        <f>L29 * LEFT('Review Information'!$C$9,1)</f>
        <v>2</v>
      </c>
      <c r="M30" s="40">
        <f>M29 * LEFT('Review Information'!$C$9,1)</f>
        <v>2</v>
      </c>
    </row>
    <row r="31" spans="1:13" ht="24" customHeight="1" x14ac:dyDescent="0.3">
      <c r="B31" s="278"/>
      <c r="C31" s="279"/>
      <c r="D31" s="279"/>
      <c r="E31" s="280"/>
      <c r="G31" s="77" t="s">
        <v>73</v>
      </c>
      <c r="H31" s="42" t="str">
        <f>IF(LEFT('Review Information'!$C$8,1)="1",SUM(LEFT($E$12,1),LEFT($E$13,1),LEFT($E$14,1)),"NA")</f>
        <v>NA</v>
      </c>
      <c r="I31" s="42" t="str">
        <f>IF(LEFT('Review Information'!$C$8,1)="2",SUM(LEFT($E$12,1),LEFT($E$13,1),LEFT($E$14,1)),"NA")</f>
        <v>NA</v>
      </c>
      <c r="J31" s="42" t="str">
        <f>IF(LEFT('Review Information'!$C$8,1)="3",SUM(LEFT($E$12,1),LEFT($E$13,1),LEFT($E$14,1)),"NA")</f>
        <v>NA</v>
      </c>
      <c r="K31" s="42" t="str">
        <f>IF(LEFT('Review Information'!$C$8,1)="4",SUM(LEFT($E$12,1),LEFT($E$13,1),LEFT($E$14,1)),"NA")</f>
        <v>NA</v>
      </c>
      <c r="L31" s="42">
        <f>IF(LEFT('Review Information'!$C$8,1)="5",SUM(LEFT($E$12,1),LEFT($E$13,1),LEFT($E$14,1)),"NA")</f>
        <v>0</v>
      </c>
      <c r="M31" s="42" t="str">
        <f>IF(LEFT('Review Information'!$C$8,1)="6",SUM(LEFT($E$12,1),LEFT($E$13,1),LEFT($E$14,1)),"NA")</f>
        <v>NA</v>
      </c>
    </row>
    <row r="32" spans="1:13" ht="24" customHeight="1" x14ac:dyDescent="0.3">
      <c r="B32" s="281"/>
      <c r="C32" s="282"/>
      <c r="D32" s="282"/>
      <c r="E32" s="283"/>
      <c r="G32" s="77" t="s">
        <v>197</v>
      </c>
      <c r="H32" s="41" t="str">
        <f>IF(LEFT('Review Information'!$C$8,1)="1",H31/H30, "NA")</f>
        <v>NA</v>
      </c>
      <c r="I32" s="41" t="str">
        <f>IF(LEFT('Review Information'!$C$8,1)="2",I31/I30, "NA")</f>
        <v>NA</v>
      </c>
      <c r="J32" s="41" t="str">
        <f>IF(LEFT('Review Information'!$C$8,1)="3",J31/J30, "NA")</f>
        <v>NA</v>
      </c>
      <c r="K32" s="41" t="str">
        <f>IF(LEFT('Review Information'!$C$8,1)="4",K31/K30, "NA")</f>
        <v>NA</v>
      </c>
      <c r="L32" s="41">
        <f>IF(LEFT('Review Information'!$C$8,1)="5",L31/L30, "NA")</f>
        <v>0</v>
      </c>
      <c r="M32" s="41" t="str">
        <f>IF(LEFT('Review Information'!$C$8,1)="6",M31/M30, "NA")</f>
        <v>NA</v>
      </c>
    </row>
    <row r="33" spans="1:13" ht="24" customHeight="1" x14ac:dyDescent="0.3">
      <c r="G33" s="26"/>
      <c r="H33" s="41"/>
      <c r="I33" s="41"/>
      <c r="J33" s="41"/>
      <c r="K33" s="41"/>
      <c r="L33" s="41"/>
      <c r="M33" s="41"/>
    </row>
    <row r="34" spans="1:13" ht="24" customHeight="1" x14ac:dyDescent="0.3">
      <c r="B34" s="293" t="s">
        <v>36</v>
      </c>
      <c r="C34" s="294"/>
      <c r="D34" s="294"/>
      <c r="E34" s="295"/>
      <c r="H34" s="15" t="s">
        <v>108</v>
      </c>
      <c r="I34" s="43"/>
      <c r="J34" s="43"/>
      <c r="K34" s="43"/>
      <c r="L34" s="43"/>
      <c r="M34" s="43"/>
    </row>
    <row r="35" spans="1:13" ht="54" customHeight="1" x14ac:dyDescent="0.3">
      <c r="B35" s="284" t="s">
        <v>400</v>
      </c>
      <c r="C35" s="285"/>
      <c r="D35" s="285"/>
      <c r="E35" s="286"/>
      <c r="G35" s="78" t="s">
        <v>101</v>
      </c>
      <c r="H35" s="133">
        <v>0</v>
      </c>
      <c r="I35" s="133">
        <v>0</v>
      </c>
      <c r="J35" s="133">
        <v>0</v>
      </c>
      <c r="K35" s="133">
        <v>0</v>
      </c>
      <c r="L35" s="133">
        <v>0</v>
      </c>
      <c r="M35" s="133">
        <v>0</v>
      </c>
    </row>
    <row r="36" spans="1:13" ht="38.25" customHeight="1" x14ac:dyDescent="0.3">
      <c r="B36" s="296" t="s">
        <v>401</v>
      </c>
      <c r="C36" s="297"/>
      <c r="D36" s="297"/>
      <c r="E36" s="298"/>
      <c r="G36" s="78" t="s">
        <v>104</v>
      </c>
      <c r="H36" s="40">
        <f>H35 * LEFT('Review Information'!$C$9,1)</f>
        <v>0</v>
      </c>
      <c r="I36" s="40">
        <f>I35 * LEFT('Review Information'!$C$9,1)</f>
        <v>0</v>
      </c>
      <c r="J36" s="40">
        <f>J35 * LEFT('Review Information'!$C$9,1)</f>
        <v>0</v>
      </c>
      <c r="K36" s="40">
        <f>K35 * LEFT('Review Information'!$C$9,1)</f>
        <v>0</v>
      </c>
      <c r="L36" s="40">
        <f>L35 * LEFT('Review Information'!$C$9,1)</f>
        <v>0</v>
      </c>
      <c r="M36" s="40">
        <f>M35 * LEFT('Review Information'!$C$9,1)</f>
        <v>0</v>
      </c>
    </row>
    <row r="37" spans="1:13" ht="33" customHeight="1" x14ac:dyDescent="0.3">
      <c r="B37" s="287" t="s">
        <v>74</v>
      </c>
      <c r="C37" s="288"/>
      <c r="D37" s="288"/>
      <c r="E37" s="289"/>
      <c r="G37" s="78" t="s">
        <v>75</v>
      </c>
      <c r="H37" s="42" t="s">
        <v>149</v>
      </c>
      <c r="I37" s="42" t="s">
        <v>149</v>
      </c>
      <c r="J37" s="42" t="s">
        <v>149</v>
      </c>
      <c r="K37" s="42" t="s">
        <v>149</v>
      </c>
      <c r="L37" s="42" t="s">
        <v>149</v>
      </c>
      <c r="M37" s="42" t="s">
        <v>149</v>
      </c>
    </row>
    <row r="38" spans="1:13" ht="24" customHeight="1" x14ac:dyDescent="0.3">
      <c r="B38" s="290" t="s">
        <v>45</v>
      </c>
      <c r="C38" s="291"/>
      <c r="D38" s="291"/>
      <c r="E38" s="292"/>
      <c r="G38" s="78" t="s">
        <v>198</v>
      </c>
      <c r="H38" s="42" t="s">
        <v>149</v>
      </c>
      <c r="I38" s="42" t="s">
        <v>149</v>
      </c>
      <c r="J38" s="42" t="s">
        <v>149</v>
      </c>
      <c r="K38" s="42" t="s">
        <v>149</v>
      </c>
      <c r="L38" s="42" t="s">
        <v>149</v>
      </c>
      <c r="M38" s="42" t="s">
        <v>149</v>
      </c>
    </row>
    <row r="39" spans="1:13" x14ac:dyDescent="0.3">
      <c r="H39" s="11"/>
      <c r="I39" s="11"/>
      <c r="J39" s="11"/>
      <c r="K39" s="11"/>
    </row>
    <row r="40" spans="1:13" x14ac:dyDescent="0.3">
      <c r="A40" s="258" t="str">
        <f>About!A1</f>
        <v>Urban Forest Sustainability and Management Review (v6.6a Austin)</v>
      </c>
      <c r="B40" s="259"/>
      <c r="C40" s="259"/>
      <c r="D40" s="259"/>
      <c r="E40" s="259"/>
      <c r="F40" s="302"/>
      <c r="G40" s="302"/>
      <c r="H40" s="302"/>
      <c r="I40" s="302"/>
      <c r="J40" s="302"/>
      <c r="K40" s="302"/>
      <c r="L40" s="302"/>
      <c r="M40" s="302"/>
    </row>
    <row r="41" spans="1:13" x14ac:dyDescent="0.3">
      <c r="A41" s="259"/>
      <c r="B41" s="259"/>
      <c r="C41" s="259"/>
      <c r="D41" s="259"/>
      <c r="E41" s="259"/>
      <c r="F41" s="302"/>
      <c r="G41" s="302"/>
      <c r="H41" s="302"/>
      <c r="I41" s="302"/>
      <c r="J41" s="302"/>
      <c r="K41" s="302"/>
      <c r="L41" s="302"/>
      <c r="M41" s="302"/>
    </row>
  </sheetData>
  <sheetProtection selectLockedCells="1"/>
  <mergeCells count="18">
    <mergeCell ref="B32:E32"/>
    <mergeCell ref="B34:E34"/>
    <mergeCell ref="B35:E35"/>
    <mergeCell ref="B27:E27"/>
    <mergeCell ref="B28:E28"/>
    <mergeCell ref="B29:E29"/>
    <mergeCell ref="B30:E30"/>
    <mergeCell ref="B31:E31"/>
    <mergeCell ref="A1:E2"/>
    <mergeCell ref="F1:M2"/>
    <mergeCell ref="B24:E24"/>
    <mergeCell ref="B25:E25"/>
    <mergeCell ref="B26:E26"/>
    <mergeCell ref="B36:E36"/>
    <mergeCell ref="B37:E37"/>
    <mergeCell ref="B38:E38"/>
    <mergeCell ref="A40:E41"/>
    <mergeCell ref="F40:M41"/>
  </mergeCells>
  <dataValidations count="1">
    <dataValidation type="list" allowBlank="1" showInputMessage="1" showErrorMessage="1" errorTitle="Evaluation" error="You must select from the dropdown list!" promptTitle="Evaluation" prompt="Select the most appropriate management or current activity." sqref="E12:E20">
      <formula1>Evaluate</formula1>
    </dataValidation>
  </dataValidations>
  <hyperlinks>
    <hyperlink ref="M4" location="'TOC - Quick Access'!A1" display="Return to TOC"/>
    <hyperlink ref="D19" r:id="rId1" display="http://www.treeboardu.org/"/>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38"/>
  <sheetViews>
    <sheetView zoomScale="75" zoomScaleNormal="75" workbookViewId="0">
      <selection sqref="A1:E2"/>
    </sheetView>
  </sheetViews>
  <sheetFormatPr defaultColWidth="9.109375" defaultRowHeight="14.4" x14ac:dyDescent="0.3"/>
  <cols>
    <col min="1" max="1" width="11.33203125" style="5" customWidth="1"/>
    <col min="2" max="2" width="36.109375" style="5" customWidth="1"/>
    <col min="3" max="3" width="54.88671875" style="5" customWidth="1"/>
    <col min="4" max="4" width="28.109375" style="5" customWidth="1"/>
    <col min="5" max="5" width="39.88671875" style="5" customWidth="1"/>
    <col min="6" max="6" width="4.6640625" style="5" customWidth="1"/>
    <col min="7" max="7" width="28.6640625" style="5" customWidth="1"/>
    <col min="8" max="8" width="9.88671875" style="5" customWidth="1"/>
    <col min="9" max="9" width="7.88671875" style="5" customWidth="1"/>
    <col min="10" max="11" width="7.44140625" style="5" customWidth="1"/>
    <col min="12" max="12" width="9.88671875" style="5" customWidth="1"/>
    <col min="13" max="13" width="11.6640625" style="5" customWidth="1"/>
    <col min="14" max="16384" width="9.109375" style="5"/>
  </cols>
  <sheetData>
    <row r="1" spans="1:13" x14ac:dyDescent="0.3">
      <c r="A1" s="256" t="str">
        <f>About!A1</f>
        <v>Urban Forest Sustainability and Management Review (v6.6a Austin)</v>
      </c>
      <c r="B1" s="257"/>
      <c r="C1" s="257"/>
      <c r="D1" s="257"/>
      <c r="E1" s="257"/>
      <c r="F1" s="302"/>
      <c r="G1" s="302"/>
      <c r="H1" s="302"/>
      <c r="I1" s="302"/>
      <c r="J1" s="302"/>
      <c r="K1" s="302"/>
      <c r="L1" s="302"/>
      <c r="M1" s="302"/>
    </row>
    <row r="2" spans="1:13" x14ac:dyDescent="0.3">
      <c r="A2" s="257"/>
      <c r="B2" s="257"/>
      <c r="C2" s="257"/>
      <c r="D2" s="257"/>
      <c r="E2" s="257"/>
      <c r="F2" s="302"/>
      <c r="G2" s="302"/>
      <c r="H2" s="302"/>
      <c r="I2" s="302"/>
      <c r="J2" s="302"/>
      <c r="K2" s="302"/>
      <c r="L2" s="302"/>
      <c r="M2" s="302"/>
    </row>
    <row r="3" spans="1:13" x14ac:dyDescent="0.3">
      <c r="C3" s="9"/>
      <c r="D3" s="10"/>
      <c r="H3" s="11"/>
      <c r="I3" s="11"/>
      <c r="J3" s="11"/>
      <c r="K3" s="11"/>
    </row>
    <row r="4" spans="1:13" ht="24" customHeight="1" x14ac:dyDescent="0.3">
      <c r="A4" s="12"/>
      <c r="B4" s="69" t="s">
        <v>31</v>
      </c>
      <c r="C4" s="71" t="str">
        <f>'Review Information'!C6</f>
        <v xml:space="preserve">&lt; enter the name of the city or college &gt; </v>
      </c>
      <c r="D4" s="69" t="s">
        <v>30</v>
      </c>
      <c r="E4" s="71" t="str">
        <f>'Review Information'!E6</f>
        <v>&lt; enter arborist here &gt;</v>
      </c>
      <c r="H4" s="11"/>
      <c r="I4" s="11"/>
      <c r="J4" s="11"/>
      <c r="K4" s="11"/>
      <c r="L4" s="11"/>
      <c r="M4" s="46" t="s">
        <v>115</v>
      </c>
    </row>
    <row r="5" spans="1:13" ht="24" customHeight="1" x14ac:dyDescent="0.3">
      <c r="A5" s="12"/>
      <c r="B5" s="69" t="s">
        <v>0</v>
      </c>
      <c r="C5" s="71" t="str">
        <f>'Review Information'!C7</f>
        <v>&lt; enter the team leaders name here &gt;</v>
      </c>
      <c r="D5" s="69" t="s">
        <v>29</v>
      </c>
      <c r="E5" s="73">
        <f>'Review Information'!E7</f>
        <v>42625</v>
      </c>
      <c r="H5" s="11"/>
      <c r="I5" s="11"/>
      <c r="J5" s="11"/>
      <c r="K5" s="11"/>
    </row>
    <row r="6" spans="1:13" ht="24" customHeight="1" x14ac:dyDescent="0.3">
      <c r="A6" s="12"/>
      <c r="B6" s="69" t="s">
        <v>32</v>
      </c>
      <c r="C6" s="71" t="str">
        <f>'Review Information'!C8</f>
        <v>5) Municipality</v>
      </c>
      <c r="D6" s="69"/>
      <c r="E6" s="73"/>
      <c r="H6" s="11"/>
      <c r="I6" s="11"/>
      <c r="J6" s="11"/>
      <c r="K6" s="11"/>
    </row>
    <row r="7" spans="1:13" x14ac:dyDescent="0.3">
      <c r="C7" s="9"/>
      <c r="D7" s="10"/>
      <c r="H7" s="11"/>
      <c r="I7" s="11"/>
      <c r="J7" s="11"/>
      <c r="K7" s="11"/>
    </row>
    <row r="8" spans="1:13" ht="24" customHeight="1" x14ac:dyDescent="0.3">
      <c r="A8" s="13">
        <v>3</v>
      </c>
      <c r="B8" s="66" t="s">
        <v>124</v>
      </c>
      <c r="H8" s="11"/>
      <c r="I8" s="11"/>
      <c r="J8" s="11"/>
      <c r="K8" s="11"/>
    </row>
    <row r="9" spans="1:13" ht="18" customHeight="1" x14ac:dyDescent="0.3">
      <c r="A9" s="14"/>
      <c r="H9" s="15" t="s">
        <v>106</v>
      </c>
      <c r="I9" s="16"/>
      <c r="J9" s="16"/>
      <c r="K9" s="16"/>
      <c r="L9" s="17"/>
      <c r="M9" s="17"/>
    </row>
    <row r="10" spans="1:13" ht="24" customHeight="1" x14ac:dyDescent="0.3">
      <c r="A10" s="98" t="s">
        <v>66</v>
      </c>
      <c r="B10" s="101" t="s">
        <v>67</v>
      </c>
      <c r="C10" s="101" t="s">
        <v>1</v>
      </c>
      <c r="D10" s="101" t="s">
        <v>2</v>
      </c>
      <c r="E10" s="110" t="s">
        <v>3</v>
      </c>
      <c r="F10" s="7"/>
      <c r="G10" s="7"/>
      <c r="H10" s="20" t="s">
        <v>58</v>
      </c>
      <c r="I10" s="20" t="s">
        <v>109</v>
      </c>
      <c r="J10" s="20" t="s">
        <v>63</v>
      </c>
      <c r="K10" s="20" t="s">
        <v>57</v>
      </c>
      <c r="L10" s="20" t="s">
        <v>56</v>
      </c>
      <c r="M10" s="20" t="s">
        <v>110</v>
      </c>
    </row>
    <row r="11" spans="1:13" ht="24" customHeight="1" thickBot="1" x14ac:dyDescent="0.35">
      <c r="A11" s="52">
        <f>A8</f>
        <v>3</v>
      </c>
      <c r="B11" s="22" t="s">
        <v>199</v>
      </c>
      <c r="C11" s="22"/>
      <c r="D11" s="22"/>
      <c r="E11" s="22"/>
      <c r="H11" s="129"/>
      <c r="I11" s="129"/>
      <c r="J11" s="129"/>
      <c r="K11" s="129"/>
      <c r="L11" s="129"/>
      <c r="M11" s="129"/>
    </row>
    <row r="12" spans="1:13" ht="48" customHeight="1" thickTop="1" thickBot="1" x14ac:dyDescent="0.35">
      <c r="A12" s="52">
        <f>$A$8 + (ROW()-11)/100</f>
        <v>3.01</v>
      </c>
      <c r="B12" s="32" t="s">
        <v>150</v>
      </c>
      <c r="C12" s="33" t="s">
        <v>159</v>
      </c>
      <c r="D12" s="33" t="s">
        <v>160</v>
      </c>
      <c r="E12" s="49" t="s">
        <v>37</v>
      </c>
      <c r="H12" s="6">
        <v>0</v>
      </c>
      <c r="I12" s="6">
        <v>0</v>
      </c>
      <c r="J12" s="6">
        <v>0</v>
      </c>
      <c r="K12" s="6">
        <v>0</v>
      </c>
      <c r="L12" s="6">
        <v>1</v>
      </c>
      <c r="M12" s="6">
        <v>0</v>
      </c>
    </row>
    <row r="13" spans="1:13" ht="60" customHeight="1" thickTop="1" thickBot="1" x14ac:dyDescent="0.35">
      <c r="A13" s="52">
        <f t="shared" ref="A13:A17" si="0">$A$8 + (ROW()-11)/100</f>
        <v>3.02</v>
      </c>
      <c r="B13" s="32" t="s">
        <v>151</v>
      </c>
      <c r="C13" s="33" t="s">
        <v>164</v>
      </c>
      <c r="D13" s="33" t="s">
        <v>160</v>
      </c>
      <c r="E13" s="49" t="s">
        <v>37</v>
      </c>
      <c r="H13" s="6">
        <v>0</v>
      </c>
      <c r="I13" s="6">
        <v>0</v>
      </c>
      <c r="J13" s="6">
        <v>0</v>
      </c>
      <c r="K13" s="6">
        <v>0</v>
      </c>
      <c r="L13" s="6">
        <v>1</v>
      </c>
      <c r="M13" s="6">
        <v>0</v>
      </c>
    </row>
    <row r="14" spans="1:13" ht="36" customHeight="1" thickTop="1" thickBot="1" x14ac:dyDescent="0.35">
      <c r="A14" s="21">
        <f t="shared" si="0"/>
        <v>3.03</v>
      </c>
      <c r="B14" s="22" t="s">
        <v>152</v>
      </c>
      <c r="C14" s="22" t="s">
        <v>161</v>
      </c>
      <c r="D14" s="22"/>
      <c r="E14" s="49" t="s">
        <v>37</v>
      </c>
      <c r="H14" s="6">
        <v>0</v>
      </c>
      <c r="I14" s="6">
        <v>0</v>
      </c>
      <c r="J14" s="6">
        <v>0</v>
      </c>
      <c r="K14" s="6">
        <v>0</v>
      </c>
      <c r="L14" s="6">
        <v>1</v>
      </c>
      <c r="M14" s="6">
        <v>0</v>
      </c>
    </row>
    <row r="15" spans="1:13" ht="36" customHeight="1" thickTop="1" thickBot="1" x14ac:dyDescent="0.35">
      <c r="A15" s="21">
        <f t="shared" si="0"/>
        <v>3.04</v>
      </c>
      <c r="B15" s="22" t="s">
        <v>153</v>
      </c>
      <c r="C15" s="22" t="s">
        <v>162</v>
      </c>
      <c r="D15" s="22" t="s">
        <v>163</v>
      </c>
      <c r="E15" s="49" t="s">
        <v>37</v>
      </c>
      <c r="H15" s="6">
        <v>0</v>
      </c>
      <c r="I15" s="6">
        <v>0</v>
      </c>
      <c r="J15" s="6">
        <v>0</v>
      </c>
      <c r="K15" s="6">
        <v>0</v>
      </c>
      <c r="L15" s="6">
        <v>1</v>
      </c>
      <c r="M15" s="6">
        <v>0</v>
      </c>
    </row>
    <row r="16" spans="1:13" ht="24" customHeight="1" thickTop="1" thickBot="1" x14ac:dyDescent="0.35">
      <c r="A16" s="21">
        <f t="shared" si="0"/>
        <v>3.05</v>
      </c>
      <c r="B16" s="22" t="s">
        <v>154</v>
      </c>
      <c r="C16" s="22" t="s">
        <v>155</v>
      </c>
      <c r="D16" s="22"/>
      <c r="E16" s="49" t="s">
        <v>37</v>
      </c>
      <c r="H16" s="6">
        <v>0</v>
      </c>
      <c r="I16" s="6">
        <v>0</v>
      </c>
      <c r="J16" s="6">
        <v>0</v>
      </c>
      <c r="K16" s="6">
        <v>0</v>
      </c>
      <c r="L16" s="6">
        <v>1</v>
      </c>
      <c r="M16" s="6">
        <v>0</v>
      </c>
    </row>
    <row r="17" spans="1:13" ht="60" customHeight="1" thickTop="1" thickBot="1" x14ac:dyDescent="0.35">
      <c r="A17" s="21">
        <f t="shared" si="0"/>
        <v>3.06</v>
      </c>
      <c r="B17" s="22" t="s">
        <v>156</v>
      </c>
      <c r="C17" s="22" t="s">
        <v>157</v>
      </c>
      <c r="D17" s="22" t="s">
        <v>158</v>
      </c>
      <c r="E17" s="3" t="s">
        <v>37</v>
      </c>
      <c r="H17" s="6">
        <v>0</v>
      </c>
      <c r="I17" s="6">
        <v>0</v>
      </c>
      <c r="J17" s="6">
        <v>0</v>
      </c>
      <c r="K17" s="6">
        <v>0</v>
      </c>
      <c r="L17" s="6">
        <v>1</v>
      </c>
      <c r="M17" s="6">
        <v>0</v>
      </c>
    </row>
    <row r="18" spans="1:13" ht="24" customHeight="1" thickTop="1" x14ac:dyDescent="0.3">
      <c r="H18" s="11"/>
      <c r="I18" s="11"/>
      <c r="J18" s="11"/>
      <c r="K18" s="11"/>
    </row>
    <row r="19" spans="1:13" ht="24" customHeight="1" x14ac:dyDescent="0.35">
      <c r="B19" s="188" t="str">
        <f xml:space="preserve"> "Audit Team Notes: " &amp; B8</f>
        <v>Audit Team Notes: Funding and Accounting</v>
      </c>
      <c r="F19" s="25"/>
      <c r="G19" s="26" t="s">
        <v>223</v>
      </c>
      <c r="H19" s="40">
        <f t="shared" ref="H19:M19" si="1">SUM(H12:H17)</f>
        <v>0</v>
      </c>
      <c r="I19" s="40">
        <f t="shared" si="1"/>
        <v>0</v>
      </c>
      <c r="J19" s="40">
        <f t="shared" si="1"/>
        <v>0</v>
      </c>
      <c r="K19" s="40">
        <f t="shared" si="1"/>
        <v>0</v>
      </c>
      <c r="L19" s="40">
        <f t="shared" si="1"/>
        <v>6</v>
      </c>
      <c r="M19" s="40">
        <f t="shared" si="1"/>
        <v>0</v>
      </c>
    </row>
    <row r="20" spans="1:13" ht="24" customHeight="1" x14ac:dyDescent="0.3">
      <c r="F20" s="27"/>
      <c r="G20" s="26" t="s">
        <v>99</v>
      </c>
      <c r="H20" s="40">
        <f>H19 * LEFT('Review Information'!$C$9,1)</f>
        <v>0</v>
      </c>
      <c r="I20" s="40">
        <f>I19 * LEFT('Review Information'!$C$9,1)</f>
        <v>0</v>
      </c>
      <c r="J20" s="40">
        <f>J19 * LEFT('Review Information'!$C$9,1)</f>
        <v>0</v>
      </c>
      <c r="K20" s="40">
        <f>K19 * LEFT('Review Information'!$C$9,1)</f>
        <v>0</v>
      </c>
      <c r="L20" s="40">
        <f>L19 * LEFT('Review Information'!$C$9,1)</f>
        <v>12</v>
      </c>
      <c r="M20" s="40">
        <f>M19 * LEFT('Review Information'!$C$9,1)</f>
        <v>0</v>
      </c>
    </row>
    <row r="21" spans="1:13" ht="24" customHeight="1" x14ac:dyDescent="0.3">
      <c r="B21" s="299" t="s">
        <v>413</v>
      </c>
      <c r="C21" s="300"/>
      <c r="D21" s="300"/>
      <c r="E21" s="301"/>
      <c r="F21" s="27"/>
      <c r="G21" s="26" t="s">
        <v>100</v>
      </c>
      <c r="H21" s="18" t="str">
        <f>IF(LEFT('Review Information'!$C$8,1)="1",SUM(LEFT(E12,1), LEFT(E13,1),LEFT(E14,1),LEFT(E15,1),LEFT(E17,1),LEFT(E16,1)),"NA")</f>
        <v>NA</v>
      </c>
      <c r="I21" s="18" t="str">
        <f>IF(LEFT('Review Information'!$C$8,1)="2",SUM(LEFT(E12,1), LEFT(E13,1),LEFT(E14,1),LEFT(E15,1),LEFT(E17,1),LEFT(E16,1)),"NA")</f>
        <v>NA</v>
      </c>
      <c r="J21" s="18" t="str">
        <f>IF(LEFT('Review Information'!$C$8,1)="3",SUM(LEFT(E12,1), LEFT(E13,1),LEFT(E14,1),LEFT(E15,1),LEFT(E17,1),LEFT(E16,1)),"NA")</f>
        <v>NA</v>
      </c>
      <c r="K21" s="18" t="str">
        <f>IF(LEFT('Review Information'!$C$8,1)="4",SUM(LEFT(E12,1), LEFT(E13,1),LEFT(E14,1),LEFT(E15,1),LEFT(E17,1),LEFT(E16,1)),"NA")</f>
        <v>NA</v>
      </c>
      <c r="L21" s="18">
        <f>IF(LEFT('Review Information'!$C$8,1)="5",SUM(LEFT(E12,1), LEFT(E13,1),LEFT(E14,1),LEFT(E15,1),LEFT(E17,1),LEFT(E16,1)),"NA")</f>
        <v>0</v>
      </c>
      <c r="M21" s="18" t="str">
        <f>IF(LEFT('Review Information'!$C$8,1)="6",SUM(LEFT(E12,1), LEFT(E13,1),LEFT(E14,1),LEFT(E15,1),LEFT(E17,1),LEFT(E16,1)),"NA")</f>
        <v>NA</v>
      </c>
    </row>
    <row r="22" spans="1:13" ht="24" customHeight="1" x14ac:dyDescent="0.3">
      <c r="B22" s="278"/>
      <c r="C22" s="279"/>
      <c r="D22" s="279"/>
      <c r="E22" s="280"/>
      <c r="F22" s="27"/>
      <c r="G22" s="26" t="s">
        <v>105</v>
      </c>
      <c r="H22" s="41" t="str">
        <f>IF(LEFT('Review Information'!$C$8,1)="1",H$21/H$20,"NA")</f>
        <v>NA</v>
      </c>
      <c r="I22" s="41" t="str">
        <f>IF(LEFT('Review Information'!$C$8,1)="2",I$21/I$20,"NA")</f>
        <v>NA</v>
      </c>
      <c r="J22" s="41" t="str">
        <f>IF(LEFT('Review Information'!$C$8,1)="3",J$21/J$20,"NA")</f>
        <v>NA</v>
      </c>
      <c r="K22" s="41" t="str">
        <f>IF(LEFT('Review Information'!$C$8,1)="4",K$21/K$20,"NA")</f>
        <v>NA</v>
      </c>
      <c r="L22" s="41">
        <f>IF(LEFT('Review Information'!$C$8,1)="5",L$21/L$20,"NA")</f>
        <v>0</v>
      </c>
      <c r="M22" s="41" t="str">
        <f>IF(LEFT('Review Information'!$C$8,1)="6",M$21/M$20,"NA")</f>
        <v>NA</v>
      </c>
    </row>
    <row r="23" spans="1:13" ht="24" customHeight="1" x14ac:dyDescent="0.3">
      <c r="B23" s="278"/>
      <c r="C23" s="279"/>
      <c r="D23" s="279"/>
      <c r="E23" s="280"/>
      <c r="H23" s="11"/>
      <c r="I23" s="11"/>
      <c r="J23" s="11"/>
      <c r="K23" s="11"/>
    </row>
    <row r="24" spans="1:13" ht="24" customHeight="1" x14ac:dyDescent="0.3">
      <c r="B24" s="278"/>
      <c r="C24" s="279"/>
      <c r="D24" s="279"/>
      <c r="E24" s="280"/>
      <c r="H24" s="11"/>
      <c r="I24" s="11"/>
      <c r="J24" s="11"/>
      <c r="K24" s="11"/>
    </row>
    <row r="25" spans="1:13" ht="24" customHeight="1" x14ac:dyDescent="0.3">
      <c r="B25" s="278"/>
      <c r="C25" s="279"/>
      <c r="D25" s="279"/>
      <c r="E25" s="280"/>
      <c r="H25" s="15" t="s">
        <v>107</v>
      </c>
      <c r="I25" s="16"/>
      <c r="J25" s="16"/>
      <c r="K25" s="16"/>
      <c r="L25" s="17"/>
      <c r="M25" s="17"/>
    </row>
    <row r="26" spans="1:13" ht="24" customHeight="1" x14ac:dyDescent="0.3">
      <c r="B26" s="278"/>
      <c r="C26" s="279"/>
      <c r="D26" s="279"/>
      <c r="E26" s="280"/>
      <c r="G26" s="77" t="s">
        <v>102</v>
      </c>
      <c r="H26" s="125">
        <v>1</v>
      </c>
      <c r="I26" s="125">
        <v>1</v>
      </c>
      <c r="J26" s="125">
        <v>1</v>
      </c>
      <c r="K26" s="125">
        <v>1</v>
      </c>
      <c r="L26" s="125">
        <v>1</v>
      </c>
      <c r="M26" s="125">
        <v>1</v>
      </c>
    </row>
    <row r="27" spans="1:13" ht="24" customHeight="1" x14ac:dyDescent="0.3">
      <c r="B27" s="278"/>
      <c r="C27" s="279"/>
      <c r="D27" s="279"/>
      <c r="E27" s="280"/>
      <c r="G27" s="77" t="s">
        <v>103</v>
      </c>
      <c r="H27" s="40">
        <f>H26 * LEFT('Review Information'!$C$9,1)</f>
        <v>2</v>
      </c>
      <c r="I27" s="40">
        <f>I26 * LEFT('Review Information'!$C$9,1)</f>
        <v>2</v>
      </c>
      <c r="J27" s="40">
        <f>J26 * LEFT('Review Information'!$C$9,1)</f>
        <v>2</v>
      </c>
      <c r="K27" s="40">
        <f>K26 * LEFT('Review Information'!$C$9,1)</f>
        <v>2</v>
      </c>
      <c r="L27" s="40">
        <f>L26 * LEFT('Review Information'!$C$9,1)</f>
        <v>2</v>
      </c>
      <c r="M27" s="40">
        <f>M26 * LEFT('Review Information'!$C$9,1)</f>
        <v>2</v>
      </c>
    </row>
    <row r="28" spans="1:13" ht="24" customHeight="1" x14ac:dyDescent="0.3">
      <c r="B28" s="278"/>
      <c r="C28" s="279"/>
      <c r="D28" s="279"/>
      <c r="E28" s="280"/>
      <c r="G28" s="77" t="s">
        <v>73</v>
      </c>
      <c r="H28" s="42" t="str">
        <f>IF(LEFT('Review Information'!$C$8,1)="1",SUM(LEFT($E$13,1),LEFT($E$12,1)),"NA")</f>
        <v>NA</v>
      </c>
      <c r="I28" s="42" t="str">
        <f>IF(LEFT('Review Information'!$C$8,1)="2",SUM(LEFT($E$16,1),LEFT($E$12,1)),"NA")</f>
        <v>NA</v>
      </c>
      <c r="J28" s="42" t="str">
        <f>IF(LEFT('Review Information'!$C$8,1)="3",SUM(LEFT($E$13,1),LEFT($E$12,1)),"NA")</f>
        <v>NA</v>
      </c>
      <c r="K28" s="42" t="str">
        <f>IF(LEFT('Review Information'!$C$8,1)="4",SUM(LEFT($E$13,1),LEFT($E$12,1)),"NA")</f>
        <v>NA</v>
      </c>
      <c r="L28" s="42">
        <f>IF(LEFT('Review Information'!$C$8,1)="5",SUM(LEFT($E$13,1),LEFT($E$12,1)),"NA")</f>
        <v>0</v>
      </c>
      <c r="M28" s="42" t="str">
        <f>IF(LEFT('Review Information'!$C$8,1)="6",SUM(LEFT($E$13,1),LEFT($E$12,1)),"NA")</f>
        <v>NA</v>
      </c>
    </row>
    <row r="29" spans="1:13" ht="24" customHeight="1" x14ac:dyDescent="0.3">
      <c r="B29" s="281"/>
      <c r="C29" s="282"/>
      <c r="D29" s="282"/>
      <c r="E29" s="283"/>
      <c r="G29" s="77" t="s">
        <v>197</v>
      </c>
      <c r="H29" s="41" t="str">
        <f>IF(LEFT('Review Information'!$C$8,1)="1",H28/H27, "NA")</f>
        <v>NA</v>
      </c>
      <c r="I29" s="41" t="str">
        <f>IF(LEFT('Review Information'!$C$8,1)="2",I28/I27, "NA")</f>
        <v>NA</v>
      </c>
      <c r="J29" s="41" t="str">
        <f>IF(LEFT('Review Information'!$C$8,1)="3",J28/J27, "NA")</f>
        <v>NA</v>
      </c>
      <c r="K29" s="41" t="str">
        <f>IF(LEFT('Review Information'!$C$8,1)="4",K28/K27, "NA")</f>
        <v>NA</v>
      </c>
      <c r="L29" s="41">
        <f>IF(LEFT('Review Information'!$C$8,1)="5",L28/L27, "NA")</f>
        <v>0</v>
      </c>
      <c r="M29" s="41" t="str">
        <f>IF(LEFT('Review Information'!$C$8,1)="6",M28/M27, "NA")</f>
        <v>NA</v>
      </c>
    </row>
    <row r="30" spans="1:13" ht="24" customHeight="1" x14ac:dyDescent="0.3">
      <c r="G30" s="26"/>
      <c r="H30" s="41"/>
      <c r="I30" s="41"/>
      <c r="J30" s="41"/>
      <c r="K30" s="41"/>
      <c r="L30" s="41"/>
      <c r="M30" s="41"/>
    </row>
    <row r="31" spans="1:13" ht="24" customHeight="1" x14ac:dyDescent="0.3">
      <c r="B31" s="293" t="s">
        <v>36</v>
      </c>
      <c r="C31" s="294"/>
      <c r="D31" s="294"/>
      <c r="E31" s="295"/>
      <c r="H31" s="15" t="s">
        <v>108</v>
      </c>
      <c r="I31" s="43"/>
      <c r="J31" s="43"/>
      <c r="K31" s="43"/>
      <c r="L31" s="43"/>
      <c r="M31" s="43"/>
    </row>
    <row r="32" spans="1:13" ht="54" customHeight="1" x14ac:dyDescent="0.3">
      <c r="B32" s="284" t="s">
        <v>400</v>
      </c>
      <c r="C32" s="285"/>
      <c r="D32" s="285"/>
      <c r="E32" s="286"/>
      <c r="G32" s="78" t="s">
        <v>101</v>
      </c>
      <c r="H32" s="133">
        <v>0</v>
      </c>
      <c r="I32" s="133">
        <v>0</v>
      </c>
      <c r="J32" s="133">
        <v>0</v>
      </c>
      <c r="K32" s="133">
        <v>0</v>
      </c>
      <c r="L32" s="133">
        <v>0</v>
      </c>
      <c r="M32" s="133">
        <v>0</v>
      </c>
    </row>
    <row r="33" spans="1:13" ht="38.25" customHeight="1" x14ac:dyDescent="0.3">
      <c r="B33" s="296" t="s">
        <v>401</v>
      </c>
      <c r="C33" s="297"/>
      <c r="D33" s="297"/>
      <c r="E33" s="298"/>
      <c r="G33" s="78" t="s">
        <v>104</v>
      </c>
      <c r="H33" s="40">
        <f>H32 * LEFT('Review Information'!$C$9,1)</f>
        <v>0</v>
      </c>
      <c r="I33" s="40">
        <f>I32 * LEFT('Review Information'!$C$9,1)</f>
        <v>0</v>
      </c>
      <c r="J33" s="40">
        <f>J32 * LEFT('Review Information'!$C$9,1)</f>
        <v>0</v>
      </c>
      <c r="K33" s="40">
        <f>K32 * LEFT('Review Information'!$C$9,1)</f>
        <v>0</v>
      </c>
      <c r="L33" s="40">
        <f>L32 * LEFT('Review Information'!$C$9,1)</f>
        <v>0</v>
      </c>
      <c r="M33" s="40">
        <f>M32 * LEFT('Review Information'!$C$9,1)</f>
        <v>0</v>
      </c>
    </row>
    <row r="34" spans="1:13" ht="33" customHeight="1" x14ac:dyDescent="0.3">
      <c r="B34" s="287" t="s">
        <v>74</v>
      </c>
      <c r="C34" s="288"/>
      <c r="D34" s="288"/>
      <c r="E34" s="289"/>
      <c r="G34" s="78" t="s">
        <v>75</v>
      </c>
      <c r="H34" s="42" t="s">
        <v>149</v>
      </c>
      <c r="I34" s="42" t="s">
        <v>149</v>
      </c>
      <c r="J34" s="42" t="s">
        <v>149</v>
      </c>
      <c r="K34" s="42" t="s">
        <v>149</v>
      </c>
      <c r="L34" s="42" t="s">
        <v>149</v>
      </c>
      <c r="M34" s="42" t="s">
        <v>149</v>
      </c>
    </row>
    <row r="35" spans="1:13" ht="24" customHeight="1" x14ac:dyDescent="0.3">
      <c r="B35" s="290" t="s">
        <v>45</v>
      </c>
      <c r="C35" s="291"/>
      <c r="D35" s="291"/>
      <c r="E35" s="292"/>
      <c r="G35" s="78" t="s">
        <v>198</v>
      </c>
      <c r="H35" s="42" t="s">
        <v>149</v>
      </c>
      <c r="I35" s="42" t="s">
        <v>149</v>
      </c>
      <c r="J35" s="42" t="s">
        <v>149</v>
      </c>
      <c r="K35" s="42" t="s">
        <v>149</v>
      </c>
      <c r="L35" s="42" t="s">
        <v>149</v>
      </c>
      <c r="M35" s="42" t="s">
        <v>149</v>
      </c>
    </row>
    <row r="36" spans="1:13" ht="24" customHeight="1" x14ac:dyDescent="0.3">
      <c r="H36" s="11"/>
      <c r="I36" s="11"/>
      <c r="J36" s="11"/>
      <c r="K36" s="11"/>
    </row>
    <row r="37" spans="1:13" x14ac:dyDescent="0.3">
      <c r="A37" s="258" t="str">
        <f>About!A1</f>
        <v>Urban Forest Sustainability and Management Review (v6.6a Austin)</v>
      </c>
      <c r="B37" s="259"/>
      <c r="C37" s="259"/>
      <c r="D37" s="259"/>
      <c r="E37" s="259"/>
      <c r="F37" s="302"/>
      <c r="G37" s="302"/>
      <c r="H37" s="302"/>
      <c r="I37" s="302"/>
      <c r="J37" s="302"/>
      <c r="K37" s="302"/>
      <c r="L37" s="302"/>
      <c r="M37" s="302"/>
    </row>
    <row r="38" spans="1:13" x14ac:dyDescent="0.3">
      <c r="A38" s="259"/>
      <c r="B38" s="259"/>
      <c r="C38" s="259"/>
      <c r="D38" s="259"/>
      <c r="E38" s="259"/>
      <c r="F38" s="302"/>
      <c r="G38" s="302"/>
      <c r="H38" s="302"/>
      <c r="I38" s="302"/>
      <c r="J38" s="302"/>
      <c r="K38" s="302"/>
      <c r="L38" s="302"/>
      <c r="M38" s="302"/>
    </row>
  </sheetData>
  <sheetProtection selectLockedCells="1"/>
  <mergeCells count="18">
    <mergeCell ref="B29:E29"/>
    <mergeCell ref="B31:E31"/>
    <mergeCell ref="B32:E32"/>
    <mergeCell ref="B24:E24"/>
    <mergeCell ref="B25:E25"/>
    <mergeCell ref="B26:E26"/>
    <mergeCell ref="B27:E27"/>
    <mergeCell ref="B28:E28"/>
    <mergeCell ref="A1:E2"/>
    <mergeCell ref="F1:M2"/>
    <mergeCell ref="B21:E21"/>
    <mergeCell ref="B22:E22"/>
    <mergeCell ref="B23:E23"/>
    <mergeCell ref="B33:E33"/>
    <mergeCell ref="B34:E34"/>
    <mergeCell ref="B35:E35"/>
    <mergeCell ref="A37:E38"/>
    <mergeCell ref="F37:M38"/>
  </mergeCells>
  <dataValidations count="1">
    <dataValidation type="list" allowBlank="1" showInputMessage="1" showErrorMessage="1" errorTitle="Evaluation" error="You must select from the dropdown list!" promptTitle="Evaluation" prompt="Select the most appropriate management or current activity." sqref="E12:E17">
      <formula1>Evaluate</formula1>
    </dataValidation>
  </dataValidations>
  <hyperlinks>
    <hyperlink ref="M4" location="'TOC - Quick Access'!A1" display="Return to TO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6"/>
  <sheetViews>
    <sheetView zoomScale="75" zoomScaleNormal="75" workbookViewId="0">
      <selection sqref="A1:E2"/>
    </sheetView>
  </sheetViews>
  <sheetFormatPr defaultColWidth="9.109375" defaultRowHeight="14.4" x14ac:dyDescent="0.3"/>
  <cols>
    <col min="1" max="1" width="11.5546875" style="5" customWidth="1"/>
    <col min="2" max="2" width="36.109375" style="5" customWidth="1"/>
    <col min="3" max="3" width="54.88671875" style="5" customWidth="1"/>
    <col min="4" max="4" width="26.44140625" style="5" customWidth="1"/>
    <col min="5" max="5" width="39.88671875" style="5" customWidth="1"/>
    <col min="6" max="6" width="4" style="5" customWidth="1"/>
    <col min="7" max="7" width="28.5546875" style="5" customWidth="1"/>
    <col min="8" max="8" width="14.88671875" style="5" customWidth="1"/>
    <col min="9" max="9" width="11.44140625" style="5" customWidth="1"/>
    <col min="10" max="10" width="7.44140625" style="5" customWidth="1"/>
    <col min="11" max="11" width="11" style="5" customWidth="1"/>
    <col min="12" max="12" width="13.109375" style="5" customWidth="1"/>
    <col min="13" max="13" width="17.44140625" style="5" customWidth="1"/>
    <col min="14" max="16384" width="9.109375" style="5"/>
  </cols>
  <sheetData>
    <row r="1" spans="1:13" x14ac:dyDescent="0.3">
      <c r="A1" s="256" t="str">
        <f>About!A1</f>
        <v>Urban Forest Sustainability and Management Review (v6.6a Austin)</v>
      </c>
      <c r="B1" s="257"/>
      <c r="C1" s="257"/>
      <c r="D1" s="257"/>
      <c r="E1" s="257"/>
      <c r="F1" s="302"/>
      <c r="G1" s="302"/>
      <c r="H1" s="302"/>
      <c r="I1" s="302"/>
      <c r="J1" s="302"/>
      <c r="K1" s="302"/>
      <c r="L1" s="302"/>
      <c r="M1" s="302"/>
    </row>
    <row r="2" spans="1:13" x14ac:dyDescent="0.3">
      <c r="A2" s="257"/>
      <c r="B2" s="257"/>
      <c r="C2" s="257"/>
      <c r="D2" s="257"/>
      <c r="E2" s="257"/>
      <c r="F2" s="302"/>
      <c r="G2" s="302"/>
      <c r="H2" s="302"/>
      <c r="I2" s="302"/>
      <c r="J2" s="302"/>
      <c r="K2" s="302"/>
      <c r="L2" s="302"/>
      <c r="M2" s="302"/>
    </row>
    <row r="3" spans="1:13" x14ac:dyDescent="0.3">
      <c r="C3" s="9"/>
      <c r="D3" s="10"/>
      <c r="H3" s="11"/>
      <c r="I3" s="11"/>
      <c r="J3" s="11"/>
      <c r="K3" s="11"/>
    </row>
    <row r="4" spans="1:13" ht="24" customHeight="1" x14ac:dyDescent="0.3">
      <c r="A4" s="12"/>
      <c r="B4" s="69" t="s">
        <v>31</v>
      </c>
      <c r="C4" s="71" t="str">
        <f>'Review Information'!C6</f>
        <v xml:space="preserve">&lt; enter the name of the city or college &gt; </v>
      </c>
      <c r="D4" s="69" t="s">
        <v>30</v>
      </c>
      <c r="E4" s="71" t="str">
        <f>'Review Information'!E6</f>
        <v>&lt; enter arborist here &gt;</v>
      </c>
      <c r="H4" s="11"/>
      <c r="I4" s="11"/>
      <c r="J4" s="11"/>
      <c r="K4" s="11"/>
      <c r="L4" s="11"/>
      <c r="M4" s="46" t="s">
        <v>115</v>
      </c>
    </row>
    <row r="5" spans="1:13" ht="24" customHeight="1" x14ac:dyDescent="0.3">
      <c r="A5" s="12"/>
      <c r="B5" s="69" t="s">
        <v>0</v>
      </c>
      <c r="C5" s="71" t="str">
        <f>'Review Information'!C7</f>
        <v>&lt; enter the team leaders name here &gt;</v>
      </c>
      <c r="D5" s="69" t="s">
        <v>29</v>
      </c>
      <c r="E5" s="73">
        <f>'Review Information'!E7</f>
        <v>42625</v>
      </c>
      <c r="H5" s="11"/>
      <c r="I5" s="11"/>
      <c r="J5" s="11"/>
      <c r="K5" s="11"/>
    </row>
    <row r="6" spans="1:13" ht="24" customHeight="1" x14ac:dyDescent="0.3">
      <c r="A6" s="12"/>
      <c r="B6" s="69" t="s">
        <v>32</v>
      </c>
      <c r="C6" s="71" t="str">
        <f>'Review Information'!C8</f>
        <v>5) Municipality</v>
      </c>
      <c r="D6" s="69"/>
      <c r="E6" s="73"/>
      <c r="H6" s="11"/>
      <c r="I6" s="11"/>
      <c r="J6" s="11"/>
      <c r="K6" s="11"/>
    </row>
    <row r="7" spans="1:13" x14ac:dyDescent="0.3">
      <c r="C7" s="9"/>
      <c r="D7" s="10"/>
      <c r="H7" s="11"/>
      <c r="I7" s="11"/>
      <c r="J7" s="11"/>
      <c r="K7" s="11"/>
    </row>
    <row r="8" spans="1:13" ht="24" customHeight="1" x14ac:dyDescent="0.3">
      <c r="A8" s="13">
        <v>4</v>
      </c>
      <c r="B8" s="66" t="s">
        <v>129</v>
      </c>
      <c r="H8" s="11"/>
      <c r="I8" s="11"/>
      <c r="J8" s="11"/>
      <c r="K8" s="11"/>
    </row>
    <row r="9" spans="1:13" ht="18" customHeight="1" x14ac:dyDescent="0.3">
      <c r="A9" s="14"/>
      <c r="H9" s="15" t="s">
        <v>106</v>
      </c>
      <c r="I9" s="16"/>
      <c r="J9" s="16"/>
      <c r="K9" s="16"/>
      <c r="L9" s="17"/>
      <c r="M9" s="17"/>
    </row>
    <row r="10" spans="1:13" ht="24" customHeight="1" x14ac:dyDescent="0.3">
      <c r="A10" s="98" t="s">
        <v>66</v>
      </c>
      <c r="B10" s="101" t="s">
        <v>67</v>
      </c>
      <c r="C10" s="105" t="s">
        <v>1</v>
      </c>
      <c r="D10" s="105" t="s">
        <v>2</v>
      </c>
      <c r="E10" s="110" t="s">
        <v>3</v>
      </c>
      <c r="F10" s="7"/>
      <c r="G10" s="7"/>
      <c r="H10" s="20" t="s">
        <v>58</v>
      </c>
      <c r="I10" s="20" t="s">
        <v>109</v>
      </c>
      <c r="J10" s="20" t="s">
        <v>63</v>
      </c>
      <c r="K10" s="20" t="s">
        <v>57</v>
      </c>
      <c r="L10" s="20" t="s">
        <v>56</v>
      </c>
      <c r="M10" s="20" t="s">
        <v>110</v>
      </c>
    </row>
    <row r="11" spans="1:13" ht="18" customHeight="1" thickBot="1" x14ac:dyDescent="0.35">
      <c r="A11" s="21">
        <f>A8</f>
        <v>4</v>
      </c>
      <c r="B11" s="22" t="s">
        <v>84</v>
      </c>
      <c r="C11" s="22"/>
      <c r="D11" s="23"/>
      <c r="E11" s="24"/>
      <c r="H11" s="11"/>
      <c r="I11" s="11"/>
      <c r="J11" s="11"/>
      <c r="K11" s="11"/>
    </row>
    <row r="12" spans="1:13" ht="48" customHeight="1" thickTop="1" thickBot="1" x14ac:dyDescent="0.35">
      <c r="A12" s="52">
        <f t="shared" ref="A12:A15" si="0">$A$8 + (ROW()-11)/100</f>
        <v>4.01</v>
      </c>
      <c r="B12" s="32" t="s">
        <v>168</v>
      </c>
      <c r="C12" s="33" t="s">
        <v>169</v>
      </c>
      <c r="D12" s="33" t="s">
        <v>160</v>
      </c>
      <c r="E12" s="4" t="s">
        <v>37</v>
      </c>
      <c r="H12" s="6">
        <v>0</v>
      </c>
      <c r="I12" s="6">
        <v>0</v>
      </c>
      <c r="J12" s="6">
        <v>0</v>
      </c>
      <c r="K12" s="6">
        <v>0</v>
      </c>
      <c r="L12" s="6">
        <v>1</v>
      </c>
      <c r="M12" s="6">
        <v>0</v>
      </c>
    </row>
    <row r="13" spans="1:13" ht="36" customHeight="1" thickTop="1" thickBot="1" x14ac:dyDescent="0.35">
      <c r="A13" s="52">
        <f t="shared" si="0"/>
        <v>4.0199999999999996</v>
      </c>
      <c r="B13" s="32" t="s">
        <v>387</v>
      </c>
      <c r="C13" s="33" t="s">
        <v>167</v>
      </c>
      <c r="D13" s="33" t="s">
        <v>160</v>
      </c>
      <c r="E13" s="4" t="s">
        <v>37</v>
      </c>
      <c r="H13" s="6">
        <v>0</v>
      </c>
      <c r="I13" s="6">
        <v>0</v>
      </c>
      <c r="J13" s="6">
        <v>0</v>
      </c>
      <c r="K13" s="6">
        <v>0</v>
      </c>
      <c r="L13" s="6">
        <v>1</v>
      </c>
      <c r="M13" s="6">
        <v>0</v>
      </c>
    </row>
    <row r="14" spans="1:13" ht="86.1" customHeight="1" thickTop="1" thickBot="1" x14ac:dyDescent="0.35">
      <c r="A14" s="21">
        <f>$A$8 + (ROW()-11)/100</f>
        <v>4.03</v>
      </c>
      <c r="B14" s="22" t="s">
        <v>165</v>
      </c>
      <c r="C14" s="22" t="s">
        <v>166</v>
      </c>
      <c r="D14" s="22"/>
      <c r="E14" s="49" t="s">
        <v>37</v>
      </c>
      <c r="H14" s="6">
        <v>0</v>
      </c>
      <c r="I14" s="6">
        <v>0</v>
      </c>
      <c r="J14" s="6">
        <v>0</v>
      </c>
      <c r="K14" s="6">
        <v>0</v>
      </c>
      <c r="L14" s="6">
        <v>1</v>
      </c>
      <c r="M14" s="6">
        <v>0</v>
      </c>
    </row>
    <row r="15" spans="1:13" ht="36" customHeight="1" thickTop="1" thickBot="1" x14ac:dyDescent="0.35">
      <c r="A15" s="53">
        <f t="shared" si="0"/>
        <v>4.04</v>
      </c>
      <c r="B15" s="54" t="s">
        <v>170</v>
      </c>
      <c r="C15" s="54" t="s">
        <v>171</v>
      </c>
      <c r="D15" s="54" t="s">
        <v>172</v>
      </c>
      <c r="E15" s="49" t="s">
        <v>37</v>
      </c>
      <c r="H15" s="6">
        <v>0</v>
      </c>
      <c r="I15" s="6">
        <v>0</v>
      </c>
      <c r="J15" s="6">
        <v>0</v>
      </c>
      <c r="K15" s="6">
        <v>0</v>
      </c>
      <c r="L15" s="6">
        <v>1</v>
      </c>
      <c r="M15" s="6">
        <v>0</v>
      </c>
    </row>
    <row r="16" spans="1:13" ht="24" customHeight="1" thickTop="1" x14ac:dyDescent="0.3">
      <c r="H16" s="11"/>
      <c r="I16" s="11"/>
      <c r="J16" s="11"/>
      <c r="K16" s="11"/>
    </row>
    <row r="17" spans="2:13" ht="36.75" customHeight="1" x14ac:dyDescent="0.35">
      <c r="B17" s="188" t="str">
        <f xml:space="preserve"> "Audit Team Notes: " &amp; B8</f>
        <v>Audit Team Notes: Decision and Management Authority</v>
      </c>
      <c r="F17" s="25"/>
      <c r="G17" s="26" t="s">
        <v>223</v>
      </c>
      <c r="H17" s="40">
        <f>SUM(H12:H15)</f>
        <v>0</v>
      </c>
      <c r="I17" s="40">
        <f>SUM(I12:I15)</f>
        <v>0</v>
      </c>
      <c r="J17" s="40">
        <f t="shared" ref="J17:M17" si="1">SUM(J12:J15)</f>
        <v>0</v>
      </c>
      <c r="K17" s="40">
        <f t="shared" si="1"/>
        <v>0</v>
      </c>
      <c r="L17" s="40">
        <f t="shared" si="1"/>
        <v>4</v>
      </c>
      <c r="M17" s="40">
        <f t="shared" si="1"/>
        <v>0</v>
      </c>
    </row>
    <row r="18" spans="2:13" ht="29.25" customHeight="1" x14ac:dyDescent="0.3">
      <c r="F18" s="27"/>
      <c r="G18" s="26" t="s">
        <v>99</v>
      </c>
      <c r="H18" s="40">
        <f>H17 * LEFT('Review Information'!$C$9,1)</f>
        <v>0</v>
      </c>
      <c r="I18" s="40">
        <f>I17 * LEFT('Review Information'!$C$9,1)</f>
        <v>0</v>
      </c>
      <c r="J18" s="40">
        <f>J17 * LEFT('Review Information'!$C$9,1)</f>
        <v>0</v>
      </c>
      <c r="K18" s="40">
        <f>K17 * LEFT('Review Information'!$C$9,1)</f>
        <v>0</v>
      </c>
      <c r="L18" s="40">
        <f>L17 * LEFT('Review Information'!$C$9,1)</f>
        <v>8</v>
      </c>
      <c r="M18" s="40">
        <f>M17 * LEFT('Review Information'!$C$9,1)</f>
        <v>0</v>
      </c>
    </row>
    <row r="19" spans="2:13" ht="37.5" customHeight="1" x14ac:dyDescent="0.3">
      <c r="B19" s="299" t="s">
        <v>413</v>
      </c>
      <c r="C19" s="300"/>
      <c r="D19" s="300"/>
      <c r="E19" s="301"/>
      <c r="F19" s="27"/>
      <c r="G19" s="26" t="s">
        <v>100</v>
      </c>
      <c r="H19" s="18" t="str">
        <f>IF(LEFT('Review Information'!$C$8,1)="1",SUM(LEFT(E14,1), LEFT(E13,1),LEFT(E12,1),LEFT(E15,1)),"NA")</f>
        <v>NA</v>
      </c>
      <c r="I19" s="18" t="str">
        <f>IF(LEFT('Review Information'!$C$8,1)="2",SUM(LEFT(E14,1), LEFT(E13,1),LEFT(E12,1),LEFT(E15,1)),"NA")</f>
        <v>NA</v>
      </c>
      <c r="J19" s="18" t="str">
        <f>IF(LEFT('Review Information'!$C$8,1)="3",SUM(LEFT(E14,1), LEFT(E13,1),LEFT(E12,1),LEFT(E15,1)),"NA")</f>
        <v>NA</v>
      </c>
      <c r="K19" s="18" t="str">
        <f>IF(LEFT('Review Information'!$C$8,1)="4",SUM(LEFT(E14,1), LEFT(E13,1),LEFT(E12,1),LEFT(E15,1)),"NA")</f>
        <v>NA</v>
      </c>
      <c r="L19" s="18">
        <f>IF(LEFT('Review Information'!$C$8,1)="5",SUM(LEFT(E14,1), LEFT(E13,1),LEFT(E12,1),LEFT(E15,1)),"NA")</f>
        <v>0</v>
      </c>
      <c r="M19" s="18" t="str">
        <f>IF(LEFT('Review Information'!$C$8,1)="6",SUM(LEFT(E14,1), LEFT(E13,1),LEFT(E12,1),LEFT(E15,1)),"NA")</f>
        <v>NA</v>
      </c>
    </row>
    <row r="20" spans="2:13" ht="31.5" customHeight="1" x14ac:dyDescent="0.3">
      <c r="B20" s="278"/>
      <c r="C20" s="279"/>
      <c r="D20" s="279"/>
      <c r="E20" s="280"/>
      <c r="F20" s="27"/>
      <c r="G20" s="26" t="s">
        <v>105</v>
      </c>
      <c r="H20" s="41" t="str">
        <f>IF(LEFT('Review Information'!$C$8,1)="1",H$19/H$18,"NA")</f>
        <v>NA</v>
      </c>
      <c r="I20" s="41" t="str">
        <f>IF(LEFT('Review Information'!$C$8,1)="2",I$19/I$18,"NA")</f>
        <v>NA</v>
      </c>
      <c r="J20" s="41" t="str">
        <f>IF(LEFT('Review Information'!$C$8,1)="3",J$19/J$18,"NA")</f>
        <v>NA</v>
      </c>
      <c r="K20" s="41" t="str">
        <f>IF(LEFT('Review Information'!$C$8,1)="4",K$19/K$18,"NA")</f>
        <v>NA</v>
      </c>
      <c r="L20" s="41">
        <f>IF(LEFT('Review Information'!$C$8,1)="5",L$19/L$18,"NA")</f>
        <v>0</v>
      </c>
      <c r="M20" s="41" t="str">
        <f>IF(LEFT('Review Information'!$C$8,1)="6",M$19/M$18,"NA")</f>
        <v>NA</v>
      </c>
    </row>
    <row r="21" spans="2:13" ht="24" customHeight="1" x14ac:dyDescent="0.3">
      <c r="B21" s="278"/>
      <c r="C21" s="279"/>
      <c r="D21" s="279"/>
      <c r="E21" s="280"/>
      <c r="H21" s="11"/>
      <c r="I21" s="11"/>
      <c r="J21" s="11"/>
      <c r="K21" s="11"/>
    </row>
    <row r="22" spans="2:13" ht="24" customHeight="1" x14ac:dyDescent="0.3">
      <c r="B22" s="278"/>
      <c r="C22" s="279"/>
      <c r="D22" s="279"/>
      <c r="E22" s="280"/>
      <c r="H22" s="11"/>
      <c r="I22" s="11"/>
      <c r="J22" s="11"/>
      <c r="K22" s="11"/>
    </row>
    <row r="23" spans="2:13" ht="24" customHeight="1" x14ac:dyDescent="0.3">
      <c r="B23" s="278"/>
      <c r="C23" s="279"/>
      <c r="D23" s="279"/>
      <c r="E23" s="280"/>
      <c r="H23" s="15" t="s">
        <v>107</v>
      </c>
      <c r="I23" s="16"/>
      <c r="J23" s="16"/>
      <c r="K23" s="16"/>
      <c r="L23" s="17"/>
      <c r="M23" s="17"/>
    </row>
    <row r="24" spans="2:13" ht="29.25" customHeight="1" x14ac:dyDescent="0.3">
      <c r="B24" s="278"/>
      <c r="C24" s="279"/>
      <c r="D24" s="279"/>
      <c r="E24" s="280"/>
      <c r="G24" s="77" t="s">
        <v>102</v>
      </c>
      <c r="H24" s="125">
        <v>1</v>
      </c>
      <c r="I24" s="125">
        <v>1</v>
      </c>
      <c r="J24" s="125">
        <v>1</v>
      </c>
      <c r="K24" s="125">
        <v>2</v>
      </c>
      <c r="L24" s="125">
        <v>2</v>
      </c>
      <c r="M24" s="125">
        <v>2</v>
      </c>
    </row>
    <row r="25" spans="2:13" ht="24" customHeight="1" x14ac:dyDescent="0.3">
      <c r="B25" s="278"/>
      <c r="C25" s="279"/>
      <c r="D25" s="279"/>
      <c r="E25" s="280"/>
      <c r="G25" s="77" t="s">
        <v>103</v>
      </c>
      <c r="H25" s="40">
        <f>H24 * LEFT('Review Information'!$C$9,1)</f>
        <v>2</v>
      </c>
      <c r="I25" s="40">
        <f>I24 * LEFT('Review Information'!$C$9,1)</f>
        <v>2</v>
      </c>
      <c r="J25" s="40">
        <f>J24 * LEFT('Review Information'!$C$9,1)</f>
        <v>2</v>
      </c>
      <c r="K25" s="40">
        <f>K24 * LEFT('Review Information'!$C$9,1)</f>
        <v>4</v>
      </c>
      <c r="L25" s="40">
        <f>L24 * LEFT('Review Information'!$C$9,1)</f>
        <v>4</v>
      </c>
      <c r="M25" s="40">
        <f>M24 * LEFT('Review Information'!$C$9,1)</f>
        <v>4</v>
      </c>
    </row>
    <row r="26" spans="2:13" ht="24" customHeight="1" x14ac:dyDescent="0.3">
      <c r="B26" s="278"/>
      <c r="C26" s="279"/>
      <c r="D26" s="279"/>
      <c r="E26" s="280"/>
      <c r="G26" s="77" t="s">
        <v>73</v>
      </c>
      <c r="H26" s="42" t="str">
        <f>IF(LEFT('Review Information'!$C$8,1)="1",SUM(LEFT($E$12,1),LEFT($E$13,1)),"NA")</f>
        <v>NA</v>
      </c>
      <c r="I26" s="42" t="str">
        <f>IF(LEFT('Review Information'!$C$8,1)="2",SUM(LEFT($E$12,1),LEFT($E$13,1)),"NA")</f>
        <v>NA</v>
      </c>
      <c r="J26" s="42" t="str">
        <f>IF(LEFT('Review Information'!$C$8,1)="3",SUM(LEFT($E$12,1),LEFT($E$13,1)),"NA")</f>
        <v>NA</v>
      </c>
      <c r="K26" s="42" t="str">
        <f>IF(LEFT('Review Information'!$C$8,1)="4",SUM(LEFT($E$12,1),LEFT($E$13,1)),"NA")</f>
        <v>NA</v>
      </c>
      <c r="L26" s="42">
        <f>IF(LEFT('Review Information'!$C$8,1)="5",SUM(LEFT($E$12,1),LEFT($E$13,1)),"NA")</f>
        <v>0</v>
      </c>
      <c r="M26" s="42" t="str">
        <f>IF(LEFT('Review Information'!$C$8,1)="6",SUM(LEFT($E$12,1),LEFT($E$13,1)),"NA")</f>
        <v>NA</v>
      </c>
    </row>
    <row r="27" spans="2:13" ht="36.75" customHeight="1" x14ac:dyDescent="0.3">
      <c r="B27" s="281"/>
      <c r="C27" s="282"/>
      <c r="D27" s="282"/>
      <c r="E27" s="283"/>
      <c r="G27" s="77" t="s">
        <v>197</v>
      </c>
      <c r="H27" s="41" t="str">
        <f>IF(LEFT('Review Information'!$C$8,1)="1",H26/H25, "NA")</f>
        <v>NA</v>
      </c>
      <c r="I27" s="41" t="str">
        <f>IF(LEFT('Review Information'!$C$8,1)="2",I26/I25, "NA")</f>
        <v>NA</v>
      </c>
      <c r="J27" s="41" t="str">
        <f>IF(LEFT('Review Information'!$C$8,1)="3",J26/J25, "NA")</f>
        <v>NA</v>
      </c>
      <c r="K27" s="41" t="str">
        <f>IF(LEFT('Review Information'!$C$8,1)="4",K26/K25, "NA")</f>
        <v>NA</v>
      </c>
      <c r="L27" s="41">
        <f>IF(LEFT('Review Information'!$C$8,1)="5",L26/L25, "NA")</f>
        <v>0</v>
      </c>
      <c r="M27" s="41" t="str">
        <f>IF(LEFT('Review Information'!$C$8,1)="6",M26/M25, "NA")</f>
        <v>NA</v>
      </c>
    </row>
    <row r="28" spans="2:13" ht="24" customHeight="1" x14ac:dyDescent="0.3">
      <c r="G28" s="26"/>
      <c r="H28" s="41"/>
      <c r="I28" s="41"/>
      <c r="J28" s="41"/>
      <c r="K28" s="41"/>
      <c r="L28" s="41"/>
      <c r="M28" s="41"/>
    </row>
    <row r="29" spans="2:13" ht="24" customHeight="1" x14ac:dyDescent="0.3">
      <c r="B29" s="293" t="s">
        <v>36</v>
      </c>
      <c r="C29" s="294"/>
      <c r="D29" s="294"/>
      <c r="E29" s="295"/>
      <c r="H29" s="15" t="s">
        <v>108</v>
      </c>
      <c r="I29" s="43"/>
      <c r="J29" s="43"/>
      <c r="K29" s="43"/>
      <c r="L29" s="43"/>
      <c r="M29" s="43"/>
    </row>
    <row r="30" spans="2:13" ht="54" customHeight="1" x14ac:dyDescent="0.3">
      <c r="B30" s="284" t="s">
        <v>400</v>
      </c>
      <c r="C30" s="285"/>
      <c r="D30" s="285"/>
      <c r="E30" s="286"/>
      <c r="G30" s="78" t="s">
        <v>101</v>
      </c>
      <c r="H30" s="133">
        <v>1</v>
      </c>
      <c r="I30" s="133">
        <v>1</v>
      </c>
      <c r="J30" s="133">
        <v>1</v>
      </c>
      <c r="K30" s="133">
        <v>1</v>
      </c>
      <c r="L30" s="133">
        <v>1</v>
      </c>
      <c r="M30" s="133">
        <v>1</v>
      </c>
    </row>
    <row r="31" spans="2:13" ht="38.25" customHeight="1" x14ac:dyDescent="0.3">
      <c r="B31" s="296" t="s">
        <v>401</v>
      </c>
      <c r="C31" s="297"/>
      <c r="D31" s="297"/>
      <c r="E31" s="298"/>
      <c r="G31" s="78" t="s">
        <v>104</v>
      </c>
      <c r="H31" s="40">
        <f>H30 * LEFT('Review Information'!$C$9,1)</f>
        <v>2</v>
      </c>
      <c r="I31" s="40">
        <f>I30 * LEFT('Review Information'!$C$9,1)</f>
        <v>2</v>
      </c>
      <c r="J31" s="40">
        <f>J30 * LEFT('Review Information'!$C$9,1)</f>
        <v>2</v>
      </c>
      <c r="K31" s="40">
        <f>K30 * LEFT('Review Information'!$C$9,1)</f>
        <v>2</v>
      </c>
      <c r="L31" s="40">
        <f>L30 * LEFT('Review Information'!$C$9,1)</f>
        <v>2</v>
      </c>
      <c r="M31" s="40">
        <f>M30 * LEFT('Review Information'!$C$9,1)</f>
        <v>2</v>
      </c>
    </row>
    <row r="32" spans="2:13" ht="33" customHeight="1" x14ac:dyDescent="0.3">
      <c r="B32" s="287" t="s">
        <v>74</v>
      </c>
      <c r="C32" s="288"/>
      <c r="D32" s="288"/>
      <c r="E32" s="289"/>
      <c r="G32" s="78" t="s">
        <v>75</v>
      </c>
      <c r="H32" s="42" t="str">
        <f>IF(LEFT('Review Information'!$C$8,1)="1",SUM(LEFT($E$15,1)),"NA")</f>
        <v>NA</v>
      </c>
      <c r="I32" s="42" t="str">
        <f>IF(LEFT('Review Information'!$C$8,1)="2",SUM(LEFT($E$15,1)),"NA")</f>
        <v>NA</v>
      </c>
      <c r="J32" s="42" t="str">
        <f>IF(LEFT('Review Information'!$C$8,1)="3",SUM(LEFT($E$15,1)),"NA")</f>
        <v>NA</v>
      </c>
      <c r="K32" s="42" t="str">
        <f>IF(LEFT('Review Information'!$C$8,1)="4",SUM(LEFT($E$15,1)),"NA")</f>
        <v>NA</v>
      </c>
      <c r="L32" s="42">
        <f>IF(LEFT('Review Information'!$C$8,1)="5",SUM(LEFT($E$15,1)),"NA")</f>
        <v>0</v>
      </c>
      <c r="M32" s="42" t="str">
        <f>IF(LEFT('Review Information'!$C$8,1)="6",SUM(LEFT($E$15,1)),"NA")</f>
        <v>NA</v>
      </c>
    </row>
    <row r="33" spans="1:13" ht="42.75" customHeight="1" x14ac:dyDescent="0.3">
      <c r="B33" s="290" t="s">
        <v>45</v>
      </c>
      <c r="C33" s="291"/>
      <c r="D33" s="291"/>
      <c r="E33" s="292"/>
      <c r="G33" s="78" t="s">
        <v>198</v>
      </c>
      <c r="H33" s="41" t="str">
        <f>IF(LEFT('Review Information'!$C$8,1)="1",H32/H31, "NA")</f>
        <v>NA</v>
      </c>
      <c r="I33" s="41" t="str">
        <f>IF(LEFT('Review Information'!$C$8,1)="2",I32/I31, "NA")</f>
        <v>NA</v>
      </c>
      <c r="J33" s="41" t="str">
        <f>IF(LEFT('Review Information'!$C$8,1)="3",J32/J31, "NA")</f>
        <v>NA</v>
      </c>
      <c r="K33" s="41" t="str">
        <f>IF(LEFT('Review Information'!$C$8,1)="4",K32/K31, "NA")</f>
        <v>NA</v>
      </c>
      <c r="L33" s="41">
        <f>IF(LEFT('Review Information'!$C$8,1)="5",L32/L31, "NA")</f>
        <v>0</v>
      </c>
      <c r="M33" s="41" t="str">
        <f>IF(LEFT('Review Information'!$C$8,1)="6",M32/M31, "NA")</f>
        <v>NA</v>
      </c>
    </row>
    <row r="34" spans="1:13" ht="24" customHeight="1" x14ac:dyDescent="0.3">
      <c r="H34" s="11"/>
      <c r="I34" s="11"/>
      <c r="J34" s="11"/>
      <c r="K34" s="11"/>
    </row>
    <row r="35" spans="1:13" x14ac:dyDescent="0.3">
      <c r="A35" s="258" t="str">
        <f>About!A1</f>
        <v>Urban Forest Sustainability and Management Review (v6.6a Austin)</v>
      </c>
      <c r="B35" s="259"/>
      <c r="C35" s="259"/>
      <c r="D35" s="259"/>
      <c r="E35" s="259"/>
      <c r="F35" s="302"/>
      <c r="G35" s="302"/>
      <c r="H35" s="302"/>
      <c r="I35" s="302"/>
      <c r="J35" s="302"/>
      <c r="K35" s="302"/>
      <c r="L35" s="302"/>
      <c r="M35" s="302"/>
    </row>
    <row r="36" spans="1:13" x14ac:dyDescent="0.3">
      <c r="A36" s="259"/>
      <c r="B36" s="259"/>
      <c r="C36" s="259"/>
      <c r="D36" s="259"/>
      <c r="E36" s="259"/>
      <c r="F36" s="302"/>
      <c r="G36" s="302"/>
      <c r="H36" s="302"/>
      <c r="I36" s="302"/>
      <c r="J36" s="302"/>
      <c r="K36" s="302"/>
      <c r="L36" s="302"/>
      <c r="M36" s="302"/>
    </row>
  </sheetData>
  <sheetProtection selectLockedCells="1"/>
  <mergeCells count="18">
    <mergeCell ref="B27:E27"/>
    <mergeCell ref="B29:E29"/>
    <mergeCell ref="B30:E30"/>
    <mergeCell ref="B22:E22"/>
    <mergeCell ref="B23:E23"/>
    <mergeCell ref="B24:E24"/>
    <mergeCell ref="B25:E25"/>
    <mergeCell ref="B26:E26"/>
    <mergeCell ref="A1:E2"/>
    <mergeCell ref="F1:M2"/>
    <mergeCell ref="B19:E19"/>
    <mergeCell ref="B20:E20"/>
    <mergeCell ref="B21:E21"/>
    <mergeCell ref="B31:E31"/>
    <mergeCell ref="B32:E32"/>
    <mergeCell ref="B33:E33"/>
    <mergeCell ref="A35:E36"/>
    <mergeCell ref="F35:M36"/>
  </mergeCells>
  <dataValidations xWindow="795" yWindow="384" count="1">
    <dataValidation type="list" allowBlank="1" showInputMessage="1" showErrorMessage="1" errorTitle="Evaluation" error="You must select from the dropdown list!" promptTitle="Evaluation" prompt="Select the most appropriate management or current activity." sqref="E12:E15">
      <formula1>Evaluate</formula1>
    </dataValidation>
  </dataValidations>
  <hyperlinks>
    <hyperlink ref="M4" location="'TOC - Quick Access'!A1" display="Return to TO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47"/>
  <sheetViews>
    <sheetView zoomScale="75" zoomScaleNormal="75" workbookViewId="0">
      <selection sqref="A1:E2"/>
    </sheetView>
  </sheetViews>
  <sheetFormatPr defaultColWidth="9.109375" defaultRowHeight="14.4" x14ac:dyDescent="0.3"/>
  <cols>
    <col min="1" max="1" width="11" style="5" customWidth="1"/>
    <col min="2" max="2" width="36.109375" style="5" customWidth="1"/>
    <col min="3" max="3" width="54.88671875" style="5" customWidth="1"/>
    <col min="4" max="4" width="26.44140625" style="5" customWidth="1"/>
    <col min="5" max="5" width="39.88671875" style="5" customWidth="1"/>
    <col min="6" max="6" width="4.109375" style="5" customWidth="1"/>
    <col min="7" max="7" width="30.109375" style="5" customWidth="1"/>
    <col min="8" max="8" width="9.88671875" style="5" customWidth="1"/>
    <col min="9" max="9" width="8.5546875" style="5" customWidth="1"/>
    <col min="10" max="11" width="7.44140625" style="5" customWidth="1"/>
    <col min="12" max="12" width="9.88671875" style="5" customWidth="1"/>
    <col min="13" max="13" width="11.6640625" style="5" customWidth="1"/>
    <col min="14" max="16384" width="9.109375" style="5"/>
  </cols>
  <sheetData>
    <row r="1" spans="1:13" x14ac:dyDescent="0.3">
      <c r="A1" s="256" t="str">
        <f>About!A1</f>
        <v>Urban Forest Sustainability and Management Review (v6.6a Austin)</v>
      </c>
      <c r="B1" s="257"/>
      <c r="C1" s="257"/>
      <c r="D1" s="257"/>
      <c r="E1" s="257"/>
      <c r="F1" s="302"/>
      <c r="G1" s="302"/>
      <c r="H1" s="302"/>
      <c r="I1" s="302"/>
      <c r="J1" s="302"/>
      <c r="K1" s="302"/>
      <c r="L1" s="302"/>
      <c r="M1" s="302"/>
    </row>
    <row r="2" spans="1:13" x14ac:dyDescent="0.3">
      <c r="A2" s="257"/>
      <c r="B2" s="257"/>
      <c r="C2" s="257"/>
      <c r="D2" s="257"/>
      <c r="E2" s="257"/>
      <c r="F2" s="302"/>
      <c r="G2" s="302"/>
      <c r="H2" s="302"/>
      <c r="I2" s="302"/>
      <c r="J2" s="302"/>
      <c r="K2" s="302"/>
      <c r="L2" s="302"/>
      <c r="M2" s="302"/>
    </row>
    <row r="3" spans="1:13" x14ac:dyDescent="0.3">
      <c r="C3" s="9"/>
      <c r="D3" s="10"/>
      <c r="H3" s="11"/>
      <c r="I3" s="11"/>
      <c r="J3" s="11"/>
      <c r="K3" s="11"/>
    </row>
    <row r="4" spans="1:13" ht="24" customHeight="1" x14ac:dyDescent="0.3">
      <c r="A4" s="12"/>
      <c r="B4" s="69" t="s">
        <v>31</v>
      </c>
      <c r="C4" s="71" t="str">
        <f>'Review Information'!C6</f>
        <v xml:space="preserve">&lt; enter the name of the city or college &gt; </v>
      </c>
      <c r="D4" s="69" t="s">
        <v>30</v>
      </c>
      <c r="E4" s="71" t="str">
        <f>'Review Information'!E6</f>
        <v>&lt; enter arborist here &gt;</v>
      </c>
      <c r="H4" s="11"/>
      <c r="I4" s="11"/>
      <c r="J4" s="11"/>
      <c r="K4" s="11"/>
      <c r="L4" s="11"/>
      <c r="M4" s="46" t="s">
        <v>115</v>
      </c>
    </row>
    <row r="5" spans="1:13" ht="24" customHeight="1" x14ac:dyDescent="0.3">
      <c r="A5" s="12"/>
      <c r="B5" s="69" t="s">
        <v>0</v>
      </c>
      <c r="C5" s="71" t="str">
        <f>'Review Information'!C7</f>
        <v>&lt; enter the team leaders name here &gt;</v>
      </c>
      <c r="D5" s="69" t="s">
        <v>29</v>
      </c>
      <c r="E5" s="73">
        <f>'Review Information'!E7</f>
        <v>42625</v>
      </c>
      <c r="H5" s="11"/>
      <c r="I5" s="11"/>
      <c r="J5" s="11"/>
      <c r="K5" s="11"/>
    </row>
    <row r="6" spans="1:13" ht="24" customHeight="1" x14ac:dyDescent="0.3">
      <c r="A6" s="12"/>
      <c r="B6" s="69" t="s">
        <v>32</v>
      </c>
      <c r="C6" s="71" t="str">
        <f>'Review Information'!C8</f>
        <v>5) Municipality</v>
      </c>
      <c r="D6" s="69"/>
      <c r="E6" s="73"/>
      <c r="H6" s="11"/>
      <c r="I6" s="11"/>
      <c r="J6" s="11"/>
      <c r="K6" s="11"/>
    </row>
    <row r="7" spans="1:13" x14ac:dyDescent="0.3">
      <c r="C7" s="9"/>
      <c r="D7" s="10"/>
      <c r="H7" s="11"/>
      <c r="I7" s="11"/>
      <c r="J7" s="11"/>
      <c r="K7" s="11"/>
    </row>
    <row r="8" spans="1:13" ht="24" customHeight="1" x14ac:dyDescent="0.3">
      <c r="A8" s="13">
        <v>5</v>
      </c>
      <c r="B8" s="66" t="s">
        <v>85</v>
      </c>
      <c r="H8" s="11"/>
      <c r="I8" s="11"/>
      <c r="J8" s="11"/>
      <c r="K8" s="11"/>
    </row>
    <row r="9" spans="1:13" ht="18" customHeight="1" x14ac:dyDescent="0.3">
      <c r="A9" s="14"/>
      <c r="H9" s="15" t="s">
        <v>106</v>
      </c>
      <c r="I9" s="16"/>
      <c r="J9" s="16"/>
      <c r="K9" s="16"/>
      <c r="L9" s="17"/>
      <c r="M9" s="17"/>
    </row>
    <row r="10" spans="1:13" ht="24" customHeight="1" x14ac:dyDescent="0.3">
      <c r="A10" s="98" t="s">
        <v>66</v>
      </c>
      <c r="B10" s="101" t="s">
        <v>67</v>
      </c>
      <c r="C10" s="105" t="s">
        <v>1</v>
      </c>
      <c r="D10" s="105" t="s">
        <v>2</v>
      </c>
      <c r="E10" s="110" t="s">
        <v>3</v>
      </c>
      <c r="F10" s="7"/>
      <c r="G10" s="7"/>
      <c r="H10" s="20" t="s">
        <v>58</v>
      </c>
      <c r="I10" s="20" t="s">
        <v>109</v>
      </c>
      <c r="J10" s="20" t="s">
        <v>63</v>
      </c>
      <c r="K10" s="20" t="s">
        <v>57</v>
      </c>
      <c r="L10" s="20" t="s">
        <v>56</v>
      </c>
      <c r="M10" s="20" t="s">
        <v>110</v>
      </c>
    </row>
    <row r="11" spans="1:13" ht="24" customHeight="1" thickBot="1" x14ac:dyDescent="0.35">
      <c r="A11" s="21">
        <f>A8</f>
        <v>5</v>
      </c>
      <c r="B11" s="22" t="s">
        <v>173</v>
      </c>
      <c r="C11" s="22"/>
      <c r="D11" s="22"/>
      <c r="E11" s="24"/>
      <c r="H11" s="11"/>
      <c r="I11" s="11"/>
      <c r="J11" s="11"/>
      <c r="K11" s="11"/>
    </row>
    <row r="12" spans="1:13" ht="36" customHeight="1" thickTop="1" thickBot="1" x14ac:dyDescent="0.35">
      <c r="A12" s="21">
        <f>$A$8 + (ROW()-11)/100</f>
        <v>5.01</v>
      </c>
      <c r="B12" s="22" t="s">
        <v>174</v>
      </c>
      <c r="C12" s="22" t="s">
        <v>175</v>
      </c>
      <c r="D12" s="22"/>
      <c r="E12" s="49" t="s">
        <v>37</v>
      </c>
      <c r="H12" s="6">
        <v>0</v>
      </c>
      <c r="I12" s="6">
        <v>0</v>
      </c>
      <c r="J12" s="6">
        <v>0</v>
      </c>
      <c r="K12" s="6">
        <v>0</v>
      </c>
      <c r="L12" s="6">
        <v>1</v>
      </c>
      <c r="M12" s="6">
        <v>0</v>
      </c>
    </row>
    <row r="13" spans="1:13" ht="72" customHeight="1" thickTop="1" thickBot="1" x14ac:dyDescent="0.35">
      <c r="A13" s="21">
        <f t="shared" ref="A13:A26" si="0">$A$8 + (ROW()-11)/100</f>
        <v>5.0199999999999996</v>
      </c>
      <c r="B13" s="22" t="s">
        <v>176</v>
      </c>
      <c r="C13" s="22" t="s">
        <v>177</v>
      </c>
      <c r="D13" s="57" t="s">
        <v>178</v>
      </c>
      <c r="E13" s="49" t="s">
        <v>37</v>
      </c>
      <c r="H13" s="6">
        <v>0</v>
      </c>
      <c r="I13" s="6">
        <v>0</v>
      </c>
      <c r="J13" s="6">
        <v>0</v>
      </c>
      <c r="K13" s="6">
        <v>0</v>
      </c>
      <c r="L13" s="6">
        <v>1</v>
      </c>
      <c r="M13" s="6">
        <v>0</v>
      </c>
    </row>
    <row r="14" spans="1:13" ht="36" customHeight="1" thickTop="1" thickBot="1" x14ac:dyDescent="0.35">
      <c r="A14" s="52">
        <f t="shared" si="0"/>
        <v>5.03</v>
      </c>
      <c r="B14" s="54" t="s">
        <v>179</v>
      </c>
      <c r="C14" s="54" t="s">
        <v>180</v>
      </c>
      <c r="D14" s="178" t="s">
        <v>181</v>
      </c>
      <c r="E14" s="128"/>
      <c r="H14" s="129"/>
      <c r="I14" s="129"/>
      <c r="J14" s="129"/>
      <c r="K14" s="129"/>
      <c r="L14" s="129"/>
      <c r="M14" s="129"/>
    </row>
    <row r="15" spans="1:13" ht="24" customHeight="1" thickTop="1" thickBot="1" x14ac:dyDescent="0.35">
      <c r="A15" s="52">
        <f t="shared" si="0"/>
        <v>5.04</v>
      </c>
      <c r="B15" s="56" t="s">
        <v>182</v>
      </c>
      <c r="C15" s="54" t="s">
        <v>183</v>
      </c>
      <c r="D15" s="54"/>
      <c r="E15" s="49" t="s">
        <v>37</v>
      </c>
      <c r="H15" s="6">
        <v>0</v>
      </c>
      <c r="I15" s="6">
        <v>0</v>
      </c>
      <c r="J15" s="6">
        <v>0</v>
      </c>
      <c r="K15" s="6">
        <v>0</v>
      </c>
      <c r="L15" s="6">
        <v>1</v>
      </c>
      <c r="M15" s="6">
        <v>0</v>
      </c>
    </row>
    <row r="16" spans="1:13" ht="24" customHeight="1" thickTop="1" thickBot="1" x14ac:dyDescent="0.35">
      <c r="A16" s="52">
        <f t="shared" si="0"/>
        <v>5.05</v>
      </c>
      <c r="B16" s="56" t="s">
        <v>184</v>
      </c>
      <c r="C16" s="54" t="s">
        <v>183</v>
      </c>
      <c r="D16" s="54"/>
      <c r="E16" s="49" t="s">
        <v>37</v>
      </c>
      <c r="H16" s="6">
        <v>0</v>
      </c>
      <c r="I16" s="6">
        <v>0</v>
      </c>
      <c r="J16" s="6">
        <v>0</v>
      </c>
      <c r="K16" s="6">
        <v>0</v>
      </c>
      <c r="L16" s="6">
        <v>1</v>
      </c>
      <c r="M16" s="6">
        <v>0</v>
      </c>
    </row>
    <row r="17" spans="1:13" ht="36" customHeight="1" thickTop="1" thickBot="1" x14ac:dyDescent="0.35">
      <c r="A17" s="52">
        <f t="shared" si="0"/>
        <v>5.0599999999999996</v>
      </c>
      <c r="B17" s="56" t="s">
        <v>185</v>
      </c>
      <c r="C17" s="54" t="s">
        <v>186</v>
      </c>
      <c r="D17" s="54"/>
      <c r="E17" s="49" t="s">
        <v>37</v>
      </c>
      <c r="H17" s="6">
        <v>0</v>
      </c>
      <c r="I17" s="6">
        <v>0</v>
      </c>
      <c r="J17" s="6">
        <v>0</v>
      </c>
      <c r="K17" s="6">
        <v>0</v>
      </c>
      <c r="L17" s="6">
        <v>1</v>
      </c>
      <c r="M17" s="6">
        <v>0</v>
      </c>
    </row>
    <row r="18" spans="1:13" ht="72" customHeight="1" thickTop="1" thickBot="1" x14ac:dyDescent="0.35">
      <c r="A18" s="52">
        <f t="shared" si="0"/>
        <v>5.07</v>
      </c>
      <c r="B18" s="56" t="s">
        <v>187</v>
      </c>
      <c r="C18" s="54" t="s">
        <v>188</v>
      </c>
      <c r="D18" s="54" t="s">
        <v>189</v>
      </c>
      <c r="E18" s="49" t="s">
        <v>37</v>
      </c>
      <c r="H18" s="6">
        <v>0</v>
      </c>
      <c r="I18" s="6">
        <v>0</v>
      </c>
      <c r="J18" s="6">
        <v>0</v>
      </c>
      <c r="K18" s="6">
        <v>0</v>
      </c>
      <c r="L18" s="6">
        <v>1</v>
      </c>
      <c r="M18" s="6">
        <v>0</v>
      </c>
    </row>
    <row r="19" spans="1:13" ht="36" customHeight="1" thickTop="1" thickBot="1" x14ac:dyDescent="0.35">
      <c r="A19" s="52">
        <f t="shared" si="0"/>
        <v>5.08</v>
      </c>
      <c r="B19" s="54" t="s">
        <v>190</v>
      </c>
      <c r="C19" s="54"/>
      <c r="D19" s="54" t="s">
        <v>181</v>
      </c>
      <c r="E19" s="135"/>
      <c r="H19" s="129"/>
      <c r="I19" s="129"/>
      <c r="J19" s="129"/>
      <c r="K19" s="129"/>
      <c r="L19" s="129"/>
      <c r="M19" s="129"/>
    </row>
    <row r="20" spans="1:13" ht="24" customHeight="1" thickTop="1" thickBot="1" x14ac:dyDescent="0.35">
      <c r="A20" s="52">
        <f t="shared" si="0"/>
        <v>5.09</v>
      </c>
      <c r="B20" s="56" t="s">
        <v>191</v>
      </c>
      <c r="C20" s="54" t="s">
        <v>183</v>
      </c>
      <c r="D20" s="54"/>
      <c r="E20" s="49" t="s">
        <v>37</v>
      </c>
      <c r="H20" s="6">
        <v>0</v>
      </c>
      <c r="I20" s="6">
        <v>0</v>
      </c>
      <c r="J20" s="6">
        <v>0</v>
      </c>
      <c r="K20" s="6">
        <v>0</v>
      </c>
      <c r="L20" s="6">
        <v>0</v>
      </c>
      <c r="M20" s="6">
        <v>0</v>
      </c>
    </row>
    <row r="21" spans="1:13" ht="24" customHeight="1" thickTop="1" thickBot="1" x14ac:dyDescent="0.35">
      <c r="A21" s="52">
        <f t="shared" si="0"/>
        <v>5.0999999999999996</v>
      </c>
      <c r="B21" s="56" t="s">
        <v>58</v>
      </c>
      <c r="C21" s="54" t="s">
        <v>183</v>
      </c>
      <c r="D21" s="54"/>
      <c r="E21" s="49" t="s">
        <v>37</v>
      </c>
      <c r="H21" s="6">
        <v>0</v>
      </c>
      <c r="I21" s="6">
        <v>0</v>
      </c>
      <c r="J21" s="6">
        <v>0</v>
      </c>
      <c r="K21" s="6">
        <v>0</v>
      </c>
      <c r="L21" s="6">
        <v>0</v>
      </c>
      <c r="M21" s="6">
        <v>0</v>
      </c>
    </row>
    <row r="22" spans="1:13" ht="24" customHeight="1" thickTop="1" thickBot="1" x14ac:dyDescent="0.35">
      <c r="A22" s="52">
        <f t="shared" si="0"/>
        <v>5.1100000000000003</v>
      </c>
      <c r="B22" s="56" t="s">
        <v>192</v>
      </c>
      <c r="C22" s="54" t="s">
        <v>183</v>
      </c>
      <c r="D22" s="54"/>
      <c r="E22" s="49" t="s">
        <v>37</v>
      </c>
      <c r="H22" s="6">
        <v>0</v>
      </c>
      <c r="I22" s="6">
        <v>0</v>
      </c>
      <c r="J22" s="6">
        <v>0</v>
      </c>
      <c r="K22" s="6">
        <v>0</v>
      </c>
      <c r="L22" s="6">
        <v>1</v>
      </c>
      <c r="M22" s="6">
        <v>0</v>
      </c>
    </row>
    <row r="23" spans="1:13" ht="72" customHeight="1" thickTop="1" thickBot="1" x14ac:dyDescent="0.35">
      <c r="A23" s="52">
        <f t="shared" si="0"/>
        <v>5.12</v>
      </c>
      <c r="B23" s="56" t="s">
        <v>187</v>
      </c>
      <c r="C23" s="54" t="s">
        <v>188</v>
      </c>
      <c r="D23" s="54" t="s">
        <v>189</v>
      </c>
      <c r="E23" s="49" t="s">
        <v>37</v>
      </c>
      <c r="H23" s="6">
        <v>0</v>
      </c>
      <c r="I23" s="6">
        <v>0</v>
      </c>
      <c r="J23" s="6">
        <v>0</v>
      </c>
      <c r="K23" s="6">
        <v>0</v>
      </c>
      <c r="L23" s="6">
        <v>1</v>
      </c>
      <c r="M23" s="6">
        <v>0</v>
      </c>
    </row>
    <row r="24" spans="1:13" ht="86.1" customHeight="1" thickTop="1" thickBot="1" x14ac:dyDescent="0.35">
      <c r="A24" s="21">
        <f t="shared" si="0"/>
        <v>5.13</v>
      </c>
      <c r="B24" s="243" t="s">
        <v>475</v>
      </c>
      <c r="C24" s="243" t="s">
        <v>476</v>
      </c>
      <c r="D24" s="243"/>
      <c r="E24" s="3" t="s">
        <v>37</v>
      </c>
      <c r="H24" s="6">
        <v>0</v>
      </c>
      <c r="I24" s="6">
        <v>0</v>
      </c>
      <c r="J24" s="6">
        <v>0</v>
      </c>
      <c r="K24" s="6">
        <v>0</v>
      </c>
      <c r="L24" s="6">
        <v>1</v>
      </c>
      <c r="M24" s="6">
        <v>0</v>
      </c>
    </row>
    <row r="25" spans="1:13" ht="86.1" customHeight="1" thickTop="1" thickBot="1" x14ac:dyDescent="0.35">
      <c r="A25" s="21">
        <f t="shared" si="0"/>
        <v>5.14</v>
      </c>
      <c r="B25" s="22" t="s">
        <v>193</v>
      </c>
      <c r="C25" s="22" t="s">
        <v>194</v>
      </c>
      <c r="D25" s="22"/>
      <c r="E25" s="3" t="s">
        <v>37</v>
      </c>
      <c r="H25" s="6">
        <v>0</v>
      </c>
      <c r="I25" s="6">
        <v>0</v>
      </c>
      <c r="J25" s="6">
        <v>0</v>
      </c>
      <c r="K25" s="6">
        <v>0</v>
      </c>
      <c r="L25" s="6">
        <v>1</v>
      </c>
      <c r="M25" s="6">
        <v>0</v>
      </c>
    </row>
    <row r="26" spans="1:13" ht="48" customHeight="1" thickTop="1" thickBot="1" x14ac:dyDescent="0.35">
      <c r="A26" s="21">
        <f t="shared" si="0"/>
        <v>5.15</v>
      </c>
      <c r="B26" s="22" t="s">
        <v>195</v>
      </c>
      <c r="C26" s="22" t="s">
        <v>196</v>
      </c>
      <c r="D26" s="22"/>
      <c r="E26" s="3" t="s">
        <v>37</v>
      </c>
      <c r="H26" s="6">
        <v>0</v>
      </c>
      <c r="I26" s="6">
        <v>0</v>
      </c>
      <c r="J26" s="6">
        <v>0</v>
      </c>
      <c r="K26" s="6">
        <v>0</v>
      </c>
      <c r="L26" s="6">
        <v>1</v>
      </c>
      <c r="M26" s="6">
        <v>0</v>
      </c>
    </row>
    <row r="27" spans="1:13" ht="24" customHeight="1" thickTop="1" x14ac:dyDescent="0.3">
      <c r="H27" s="11"/>
      <c r="I27" s="11"/>
      <c r="J27" s="11"/>
      <c r="K27" s="11"/>
    </row>
    <row r="28" spans="1:13" ht="24" customHeight="1" x14ac:dyDescent="0.35">
      <c r="B28" s="188" t="str">
        <f xml:space="preserve"> "Review Team Notes: " &amp; B8</f>
        <v>Review Team Notes: Inventories</v>
      </c>
      <c r="F28" s="25"/>
      <c r="G28" s="26" t="s">
        <v>223</v>
      </c>
      <c r="H28" s="40">
        <f t="shared" ref="H28:M28" si="1">SUM(H12:H26)</f>
        <v>0</v>
      </c>
      <c r="I28" s="40">
        <f t="shared" si="1"/>
        <v>0</v>
      </c>
      <c r="J28" s="40">
        <f t="shared" si="1"/>
        <v>0</v>
      </c>
      <c r="K28" s="40">
        <f t="shared" si="1"/>
        <v>0</v>
      </c>
      <c r="L28" s="40">
        <f>SUM(L12:L26)</f>
        <v>11</v>
      </c>
      <c r="M28" s="40">
        <f t="shared" si="1"/>
        <v>0</v>
      </c>
    </row>
    <row r="29" spans="1:13" ht="24" customHeight="1" x14ac:dyDescent="0.3">
      <c r="F29" s="27"/>
      <c r="G29" s="26" t="s">
        <v>99</v>
      </c>
      <c r="H29" s="40">
        <f>H28 * LEFT('Review Information'!$C$9,1)</f>
        <v>0</v>
      </c>
      <c r="I29" s="40">
        <f>I28 * LEFT('Review Information'!$C$9,1)</f>
        <v>0</v>
      </c>
      <c r="J29" s="40">
        <f>J28 * LEFT('Review Information'!$C$9,1)</f>
        <v>0</v>
      </c>
      <c r="K29" s="40">
        <f>K28 * LEFT('Review Information'!$C$9,1)</f>
        <v>0</v>
      </c>
      <c r="L29" s="40">
        <f>L28 * LEFT('Review Information'!$C$9,1)</f>
        <v>22</v>
      </c>
      <c r="M29" s="40">
        <f>M28 * LEFT('Review Information'!$C$9,1)</f>
        <v>0</v>
      </c>
    </row>
    <row r="30" spans="1:13" ht="24" customHeight="1" x14ac:dyDescent="0.3">
      <c r="B30" s="299" t="s">
        <v>413</v>
      </c>
      <c r="C30" s="300"/>
      <c r="D30" s="300"/>
      <c r="E30" s="301"/>
      <c r="F30" s="27"/>
      <c r="G30" s="26" t="s">
        <v>100</v>
      </c>
      <c r="H30" s="18" t="str">
        <f>IF(LEFT('Review Information'!$C$8,1)="1",SUM(LEFT($E$12,1),LEFT($E$13,1),LEFT($E$15,1),LEFT($E$16,1),LEFT($E$17,1),LEFT($E$18,1),LEFT($E$20,1),LEFT($E$21,1),LEFT($E$22,1),LEFT($E$23,1),LEFT($E$25,1),LEFT($E$26,1)),"NA")</f>
        <v>NA</v>
      </c>
      <c r="I30" s="18" t="str">
        <f>IF(LEFT('Review Information'!$C$8,1)="2",SUM(LEFT($E$12,1),LEFT($E$13,1),LEFT($E$15,1),LEFT($E$16,1),LEFT($E$17,1),LEFT($E$18,1),LEFT($E$20,1),LEFT($E$21,1),LEFT($E$22,1),LEFT($E$23,1),LEFT($E$25,1),LEFT($E$26,1)),"NA")</f>
        <v>NA</v>
      </c>
      <c r="J30" s="18" t="str">
        <f>IF(LEFT('Review Information'!$C$8,1)="3",SUM(LEFT($E$12,1),LEFT($E$13,1),LEFT($E$15,1),LEFT($E$16,1),LEFT($E$17,1),LEFT($E$18,1),LEFT($E$20,1),LEFT($E$21,1),LEFT($E$22,1),LEFT($E$23,1),LEFT($E$25,1),LEFT($E$26,1)),"NA")</f>
        <v>NA</v>
      </c>
      <c r="K30" s="18" t="str">
        <f>IF(LEFT('Review Information'!$C$8,1)="4",SUM(LEFT($E$12,1),LEFT($E$13,1),LEFT($E$15,1),LEFT($E$16,1),LEFT($E$17,1),LEFT($E$18,1),LEFT($E$20,1),LEFT($E$21,1),LEFT($E$22,1),LEFT($E$23,1),LEFT($E$25,1),LEFT($E$26,1)),"NA")</f>
        <v>NA</v>
      </c>
      <c r="L30" s="18">
        <f>IF(LEFT('Review Information'!$C$8,1)="5",SUM(LEFT($E$12,1),LEFT($E$13,1),LEFT($E$15,1),LEFT($E$16,1),LEFT($E$17,1),LEFT($E$18,1),LEFT($E$20,1),LEFT($E$21,1),LEFT($E$22,1),LEFT($E$23,1),LEFT($E$25,1),LEFT($E$26,1)),"NA")</f>
        <v>0</v>
      </c>
      <c r="M30" s="18" t="str">
        <f>IF(LEFT('Review Information'!$C$8,1)="6",SUM(LEFT($E$12,1),LEFT($E$13,1),LEFT($E$15,1),LEFT($E$16,1),LEFT($E$17,1),LEFT($E$18,1),LEFT($E$20,1),LEFT($E$21,1),LEFT($E$22,1),LEFT($E$23,1),LEFT($E$25,1),LEFT($E$26,1)),"NA")</f>
        <v>NA</v>
      </c>
    </row>
    <row r="31" spans="1:13" ht="24" customHeight="1" x14ac:dyDescent="0.3">
      <c r="B31" s="278"/>
      <c r="C31" s="279"/>
      <c r="D31" s="279"/>
      <c r="E31" s="280"/>
      <c r="F31" s="27"/>
      <c r="G31" s="26" t="s">
        <v>105</v>
      </c>
      <c r="H31" s="41" t="str">
        <f>IF(LEFT('Review Information'!$C$8,1)="1",H$30/H$29,"NA")</f>
        <v>NA</v>
      </c>
      <c r="I31" s="41" t="str">
        <f>IF(LEFT('Review Information'!$C$8,1)="2",I$30/I$29,"NA")</f>
        <v>NA</v>
      </c>
      <c r="J31" s="41" t="str">
        <f>IF(LEFT('Review Information'!$C$8,1)="3",J$30/J$29,"NA")</f>
        <v>NA</v>
      </c>
      <c r="K31" s="41" t="str">
        <f>IF(LEFT('Review Information'!$C$8,1)="4",K$30/K$29,"NA")</f>
        <v>NA</v>
      </c>
      <c r="L31" s="41">
        <f>IF(LEFT('Review Information'!$C$8,1)="5",L$30/L$29,"NA")</f>
        <v>0</v>
      </c>
      <c r="M31" s="41" t="str">
        <f>IF(LEFT('Review Information'!$C$8,1)="6",M$30/M$29,"NA")</f>
        <v>NA</v>
      </c>
    </row>
    <row r="32" spans="1:13" ht="24" customHeight="1" x14ac:dyDescent="0.3">
      <c r="B32" s="278"/>
      <c r="C32" s="279"/>
      <c r="D32" s="279"/>
      <c r="E32" s="280"/>
      <c r="H32" s="11"/>
      <c r="I32" s="11"/>
      <c r="J32" s="11"/>
      <c r="K32" s="11"/>
    </row>
    <row r="33" spans="1:13" ht="24" customHeight="1" x14ac:dyDescent="0.3">
      <c r="B33" s="278"/>
      <c r="C33" s="279"/>
      <c r="D33" s="279"/>
      <c r="E33" s="280"/>
      <c r="H33" s="11"/>
      <c r="I33" s="11"/>
      <c r="J33" s="11"/>
      <c r="K33" s="11"/>
    </row>
    <row r="34" spans="1:13" ht="24" customHeight="1" x14ac:dyDescent="0.3">
      <c r="B34" s="278"/>
      <c r="C34" s="279"/>
      <c r="D34" s="279"/>
      <c r="E34" s="280"/>
      <c r="H34" s="15" t="s">
        <v>107</v>
      </c>
      <c r="I34" s="16"/>
      <c r="J34" s="16"/>
      <c r="K34" s="16"/>
      <c r="L34" s="17"/>
      <c r="M34" s="17"/>
    </row>
    <row r="35" spans="1:13" ht="24" customHeight="1" x14ac:dyDescent="0.3">
      <c r="B35" s="278"/>
      <c r="C35" s="279"/>
      <c r="D35" s="279"/>
      <c r="E35" s="280"/>
      <c r="G35" s="77" t="s">
        <v>102</v>
      </c>
      <c r="H35" s="125">
        <v>0</v>
      </c>
      <c r="I35" s="125">
        <v>0</v>
      </c>
      <c r="J35" s="125">
        <v>0</v>
      </c>
      <c r="K35" s="125">
        <v>0</v>
      </c>
      <c r="L35" s="125">
        <v>0</v>
      </c>
      <c r="M35" s="125">
        <v>0</v>
      </c>
    </row>
    <row r="36" spans="1:13" ht="24" customHeight="1" x14ac:dyDescent="0.3">
      <c r="B36" s="278"/>
      <c r="C36" s="279"/>
      <c r="D36" s="279"/>
      <c r="E36" s="280"/>
      <c r="G36" s="77" t="s">
        <v>103</v>
      </c>
      <c r="H36" s="40">
        <f>H35 * LEFT('Review Information'!$C$9,1)</f>
        <v>0</v>
      </c>
      <c r="I36" s="40">
        <f>I35 * LEFT('Review Information'!$C$9,1)</f>
        <v>0</v>
      </c>
      <c r="J36" s="40">
        <f>J35 * LEFT('Review Information'!$C$9,1)</f>
        <v>0</v>
      </c>
      <c r="K36" s="40">
        <f>K35 * LEFT('Review Information'!$C$9,1)</f>
        <v>0</v>
      </c>
      <c r="L36" s="40">
        <f>L35 * LEFT('Review Information'!$C$9,1)</f>
        <v>0</v>
      </c>
      <c r="M36" s="40">
        <f>M35 * LEFT('Review Information'!$C$9,1)</f>
        <v>0</v>
      </c>
    </row>
    <row r="37" spans="1:13" ht="24" customHeight="1" x14ac:dyDescent="0.3">
      <c r="B37" s="278"/>
      <c r="C37" s="279"/>
      <c r="D37" s="279"/>
      <c r="E37" s="280"/>
      <c r="G37" s="77" t="s">
        <v>73</v>
      </c>
      <c r="H37" s="42" t="s">
        <v>149</v>
      </c>
      <c r="I37" s="42" t="s">
        <v>149</v>
      </c>
      <c r="J37" s="42" t="s">
        <v>149</v>
      </c>
      <c r="K37" s="42" t="s">
        <v>149</v>
      </c>
      <c r="L37" s="42" t="s">
        <v>149</v>
      </c>
      <c r="M37" s="42" t="s">
        <v>149</v>
      </c>
    </row>
    <row r="38" spans="1:13" ht="24" customHeight="1" x14ac:dyDescent="0.3">
      <c r="B38" s="281"/>
      <c r="C38" s="282"/>
      <c r="D38" s="282"/>
      <c r="E38" s="283"/>
      <c r="G38" s="77" t="s">
        <v>197</v>
      </c>
      <c r="H38" s="42" t="s">
        <v>149</v>
      </c>
      <c r="I38" s="42" t="s">
        <v>149</v>
      </c>
      <c r="J38" s="42" t="s">
        <v>149</v>
      </c>
      <c r="K38" s="42" t="s">
        <v>149</v>
      </c>
      <c r="L38" s="42" t="s">
        <v>149</v>
      </c>
      <c r="M38" s="42" t="s">
        <v>149</v>
      </c>
    </row>
    <row r="39" spans="1:13" ht="24" customHeight="1" x14ac:dyDescent="0.3">
      <c r="G39" s="26"/>
      <c r="H39" s="41"/>
      <c r="I39" s="41"/>
      <c r="J39" s="41"/>
      <c r="K39" s="41"/>
      <c r="L39" s="41"/>
      <c r="M39" s="41"/>
    </row>
    <row r="40" spans="1:13" ht="24" customHeight="1" x14ac:dyDescent="0.3">
      <c r="B40" s="293" t="s">
        <v>36</v>
      </c>
      <c r="C40" s="294"/>
      <c r="D40" s="294"/>
      <c r="E40" s="295"/>
      <c r="H40" s="15" t="s">
        <v>108</v>
      </c>
      <c r="I40" s="43"/>
      <c r="J40" s="43"/>
      <c r="K40" s="43"/>
      <c r="L40" s="43"/>
      <c r="M40" s="43"/>
    </row>
    <row r="41" spans="1:13" ht="54" customHeight="1" x14ac:dyDescent="0.3">
      <c r="B41" s="284" t="s">
        <v>400</v>
      </c>
      <c r="C41" s="285"/>
      <c r="D41" s="285"/>
      <c r="E41" s="286"/>
      <c r="G41" s="78" t="s">
        <v>101</v>
      </c>
      <c r="H41" s="133">
        <v>1</v>
      </c>
      <c r="I41" s="133">
        <v>1</v>
      </c>
      <c r="J41" s="133">
        <v>1</v>
      </c>
      <c r="K41" s="133">
        <v>2</v>
      </c>
      <c r="L41" s="133">
        <v>2</v>
      </c>
      <c r="M41" s="133">
        <v>2</v>
      </c>
    </row>
    <row r="42" spans="1:13" ht="38.25" customHeight="1" x14ac:dyDescent="0.3">
      <c r="B42" s="296" t="s">
        <v>401</v>
      </c>
      <c r="C42" s="297"/>
      <c r="D42" s="297"/>
      <c r="E42" s="298"/>
      <c r="G42" s="78" t="s">
        <v>104</v>
      </c>
      <c r="H42" s="40">
        <f>H41 * LEFT('Review Information'!$C$9,1)</f>
        <v>2</v>
      </c>
      <c r="I42" s="40">
        <f>I41 * LEFT('Review Information'!$C$9,1)</f>
        <v>2</v>
      </c>
      <c r="J42" s="40">
        <f>J41 * LEFT('Review Information'!$C$9,1)</f>
        <v>2</v>
      </c>
      <c r="K42" s="40">
        <f>K41 * LEFT('Review Information'!$C$9,1)</f>
        <v>4</v>
      </c>
      <c r="L42" s="40">
        <f>L41 * LEFT('Review Information'!$C$9,1)</f>
        <v>4</v>
      </c>
      <c r="M42" s="40">
        <f>M41 * LEFT('Review Information'!$C$9,1)</f>
        <v>4</v>
      </c>
    </row>
    <row r="43" spans="1:13" ht="33" customHeight="1" x14ac:dyDescent="0.3">
      <c r="B43" s="287" t="s">
        <v>74</v>
      </c>
      <c r="C43" s="288"/>
      <c r="D43" s="288"/>
      <c r="E43" s="289"/>
      <c r="G43" s="78" t="s">
        <v>75</v>
      </c>
      <c r="H43" s="42" t="str">
        <f>IF(LEFT('Review Information'!$C$8,1)="1",SUM(LEFT($E$20,1),LEFT($E$21,1),LEFT($E$22,1),LEFT($E$23,1)),"NA")</f>
        <v>NA</v>
      </c>
      <c r="I43" s="42" t="str">
        <f>IF(LEFT('Review Information'!$C$8,1)="2",SUM(LEFT($E$20,1),LEFT($E$21,1),LEFT($E$22,1),LEFT($E$23,1)),"NA")</f>
        <v>NA</v>
      </c>
      <c r="J43" s="42" t="str">
        <f>IF(LEFT('Review Information'!$C$8,1)="3",SUM(LEFT($E$20,1),LEFT($E$21,1),LEFT($E$22,1),LEFT($E$23,1)),"NA")</f>
        <v>NA</v>
      </c>
      <c r="K43" s="42" t="str">
        <f>IF(LEFT('Review Information'!$C$8,1)="4",SUM(LEFT($E$20,1),LEFT($E$21,1),LEFT($E$22,1),LEFT($E$23,1)),"NA")</f>
        <v>NA</v>
      </c>
      <c r="L43" s="42">
        <f>IF(LEFT('Review Information'!$C$8,1)="5",SUM(LEFT($E$20,1),LEFT($E$21,1),LEFT($E$22,1),LEFT($E$23,1)),"NA")</f>
        <v>0</v>
      </c>
      <c r="M43" s="42" t="str">
        <f>IF(LEFT('Review Information'!$C$8,1)="6",SUM(LEFT($E$20,1),LEFT($E$21,1),LEFT($E$22,1),LEFT($E$23,1)),"NA")</f>
        <v>NA</v>
      </c>
    </row>
    <row r="44" spans="1:13" ht="24" customHeight="1" x14ac:dyDescent="0.3">
      <c r="B44" s="290" t="s">
        <v>45</v>
      </c>
      <c r="C44" s="291"/>
      <c r="D44" s="291"/>
      <c r="E44" s="292"/>
      <c r="G44" s="78" t="s">
        <v>198</v>
      </c>
      <c r="H44" s="41" t="str">
        <f>IF(LEFT('Review Information'!$C$8,1)="1",H43/H42, "NA")</f>
        <v>NA</v>
      </c>
      <c r="I44" s="41" t="str">
        <f>IF(LEFT('Review Information'!$C$8,1)="2",I43/I42, "NA")</f>
        <v>NA</v>
      </c>
      <c r="J44" s="41" t="str">
        <f>IF(LEFT('Review Information'!$C$8,1)="3",J43/J42, "NA")</f>
        <v>NA</v>
      </c>
      <c r="K44" s="41" t="str">
        <f>IF(LEFT('Review Information'!$C$8,1)="4",K43/K42, "NA")</f>
        <v>NA</v>
      </c>
      <c r="L44" s="41">
        <f>IF(LEFT('Review Information'!$C$8,1)="5",L43/L42, "NA")</f>
        <v>0</v>
      </c>
      <c r="M44" s="41" t="str">
        <f>IF(LEFT('Review Information'!$C$8,1)="6",M43/M42, "NA")</f>
        <v>NA</v>
      </c>
    </row>
    <row r="45" spans="1:13" ht="24" customHeight="1" x14ac:dyDescent="0.3">
      <c r="H45" s="11"/>
      <c r="I45" s="11"/>
      <c r="J45" s="11"/>
      <c r="K45" s="11"/>
    </row>
    <row r="46" spans="1:13" x14ac:dyDescent="0.3">
      <c r="A46" s="258" t="str">
        <f>About!A1</f>
        <v>Urban Forest Sustainability and Management Review (v6.6a Austin)</v>
      </c>
      <c r="B46" s="259"/>
      <c r="C46" s="259"/>
      <c r="D46" s="259"/>
      <c r="E46" s="259"/>
      <c r="F46" s="302"/>
      <c r="G46" s="302"/>
      <c r="H46" s="302"/>
      <c r="I46" s="302"/>
      <c r="J46" s="302"/>
      <c r="K46" s="302"/>
      <c r="L46" s="302"/>
      <c r="M46" s="302"/>
    </row>
    <row r="47" spans="1:13" x14ac:dyDescent="0.3">
      <c r="A47" s="259"/>
      <c r="B47" s="259"/>
      <c r="C47" s="259"/>
      <c r="D47" s="259"/>
      <c r="E47" s="259"/>
      <c r="F47" s="302"/>
      <c r="G47" s="302"/>
      <c r="H47" s="302"/>
      <c r="I47" s="302"/>
      <c r="J47" s="302"/>
      <c r="K47" s="302"/>
      <c r="L47" s="302"/>
      <c r="M47" s="302"/>
    </row>
  </sheetData>
  <sheetProtection selectLockedCells="1"/>
  <mergeCells count="18">
    <mergeCell ref="B38:E38"/>
    <mergeCell ref="B40:E40"/>
    <mergeCell ref="B41:E41"/>
    <mergeCell ref="B33:E33"/>
    <mergeCell ref="B34:E34"/>
    <mergeCell ref="B35:E35"/>
    <mergeCell ref="B36:E36"/>
    <mergeCell ref="B37:E37"/>
    <mergeCell ref="A1:E2"/>
    <mergeCell ref="F1:M2"/>
    <mergeCell ref="B30:E30"/>
    <mergeCell ref="B31:E31"/>
    <mergeCell ref="B32:E32"/>
    <mergeCell ref="B42:E42"/>
    <mergeCell ref="B43:E43"/>
    <mergeCell ref="B44:E44"/>
    <mergeCell ref="A46:E47"/>
    <mergeCell ref="F46:M47"/>
  </mergeCells>
  <dataValidations count="1">
    <dataValidation type="list" allowBlank="1" showInputMessage="1" showErrorMessage="1" errorTitle="Evaluation" error="You must select from the dropdown list!" promptTitle="Evaluation" prompt="Select the most appropriate management or current activity." sqref="E12:E26">
      <formula1>Evaluate</formula1>
    </dataValidation>
  </dataValidations>
  <hyperlinks>
    <hyperlink ref="M4" location="'TOC - Quick Access'!A1" display="Return to TOC"/>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11</vt:i4>
      </vt:variant>
    </vt:vector>
  </HeadingPairs>
  <TitlesOfParts>
    <vt:vector size="35" baseType="lpstr">
      <vt:lpstr>TOC - Quick Access</vt:lpstr>
      <vt:lpstr>UF Review Instructions</vt:lpstr>
      <vt:lpstr>Review Information</vt:lpstr>
      <vt:lpstr>Discovery Matrix &amp; Gaps</vt:lpstr>
      <vt:lpstr>Policy &amp; Ordinances</vt:lpstr>
      <vt:lpstr>Capacity &amp; Training</vt:lpstr>
      <vt:lpstr>Funding &amp; Accounting</vt:lpstr>
      <vt:lpstr>Authority</vt:lpstr>
      <vt:lpstr>Inventories</vt:lpstr>
      <vt:lpstr>Urban Forest Management Plans</vt:lpstr>
      <vt:lpstr>Risk Management</vt:lpstr>
      <vt:lpstr>Disaster Planning</vt:lpstr>
      <vt:lpstr>Practices (Standards &amp; BMPS)</vt:lpstr>
      <vt:lpstr>Community</vt:lpstr>
      <vt:lpstr>Green Asset Evaluation </vt:lpstr>
      <vt:lpstr>Overall Management Evaluation</vt:lpstr>
      <vt:lpstr>Standard of Care</vt:lpstr>
      <vt:lpstr>Just the Basics</vt:lpstr>
      <vt:lpstr>Management Level</vt:lpstr>
      <vt:lpstr>Report</vt:lpstr>
      <vt:lpstr>Workbook Operation</vt:lpstr>
      <vt:lpstr>Tutorials</vt:lpstr>
      <vt:lpstr>About</vt:lpstr>
      <vt:lpstr>Dropdown Lists</vt:lpstr>
      <vt:lpstr>_2__Adopted_Common_Practice</vt:lpstr>
      <vt:lpstr>'Policy &amp; Ordinances'!_ftnref1</vt:lpstr>
      <vt:lpstr>'Policy &amp; Ordinances'!_ftnref2</vt:lpstr>
      <vt:lpstr>'Policy &amp; Ordinances'!_ftnref3</vt:lpstr>
      <vt:lpstr>Entity</vt:lpstr>
      <vt:lpstr>Evaluate</vt:lpstr>
      <vt:lpstr>Evaluation</vt:lpstr>
      <vt:lpstr>'Discovery Matrix &amp; Gaps'!Print_Area</vt:lpstr>
      <vt:lpstr>'Policy &amp; Ordinances'!Print_Area</vt:lpstr>
      <vt:lpstr>'TOC - Quick Access'!Print_Area</vt:lpstr>
      <vt:lpstr>'UF Review Instructions'!Print_Area</vt:lpstr>
    </vt:vector>
  </TitlesOfParts>
  <Company>Forest 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USDA Forest Service</dc:creator>
  <cp:lastModifiedBy>Hartel, Dudley R -FS</cp:lastModifiedBy>
  <cp:lastPrinted>2015-08-10T20:28:08Z</cp:lastPrinted>
  <dcterms:created xsi:type="dcterms:W3CDTF">2015-07-24T12:29:49Z</dcterms:created>
  <dcterms:modified xsi:type="dcterms:W3CDTF">2017-02-23T13:53:57Z</dcterms:modified>
</cp:coreProperties>
</file>